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12120" windowHeight="8910" tabRatio="786" activeTab="0"/>
  </bookViews>
  <sheets>
    <sheet name="Home" sheetId="1" r:id="rId1"/>
    <sheet name="Introduction" sheetId="2" r:id="rId2"/>
    <sheet name="Emissions based on fuel use" sheetId="3" r:id="rId3"/>
    <sheet name="Emissions based on distance" sheetId="4" r:id="rId4"/>
    <sheet name="Reference" sheetId="5" r:id="rId5"/>
    <sheet name="FAQ" sheetId="6" r:id="rId6"/>
    <sheet name="Version History" sheetId="7" r:id="rId7"/>
  </sheets>
  <definedNames>
    <definedName name="Add_Data_Row">'Macros'!$B$177:$B$200</definedName>
    <definedName name="Addrow">'Macros'!$B$41:$B$57</definedName>
    <definedName name="AUTO_OPEN">'Macros'!$B$8:$B$38</definedName>
    <definedName name="cellat">"R97C3"</definedName>
    <definedName name="CO2perGJ_jet">#REF!</definedName>
    <definedName name="columnat">"17"</definedName>
    <definedName name="countfiles">9</definedName>
    <definedName name="currentcell">'Emissions based on fuel use'!$Y$19</definedName>
    <definedName name="currentsheet">"Home"</definedName>
    <definedName name="D1_Air">'Emissions based on fuel use'!$D$63:$N$63</definedName>
    <definedName name="D1_Air_total">'Emissions based on fuel use'!$N$63</definedName>
    <definedName name="D1_Boat">'Emissions based on fuel use'!$D$47:$N$47</definedName>
    <definedName name="D1_Boat_total">'Emissions based on fuel use'!$N$47</definedName>
    <definedName name="D1_Rail">'Emissions based on fuel use'!$D$31:$N$31</definedName>
    <definedName name="D1_Rail_total">'Emissions based on fuel use'!$N$31</definedName>
    <definedName name="D1_Road">'Emissions based on fuel use'!$11:$11</definedName>
    <definedName name="D1_Road_total">'Emissions based on fuel use'!$N$11</definedName>
    <definedName name="DirectPart1" localSheetId="3">'Emissions based on distance'!$A$4</definedName>
    <definedName name="DirectPart1">'Emissions based on fuel use'!$A$4</definedName>
    <definedName name="filesep">"\"</definedName>
    <definedName name="Fix_rows">'Macros'!$B$112:$B$121</definedName>
    <definedName name="Fix_Sheets">'Macros'!$B$95:$B$110</definedName>
    <definedName name="get_color">'Macros'!$B$203:$B$206</definedName>
    <definedName name="get_dieselgperkm">'Reference'!$E$196:$J$259</definedName>
    <definedName name="get_gasgperkm">'Reference'!$E$196:$I$259</definedName>
    <definedName name="get_litersper100km">'Reference'!$E$196:$K$259</definedName>
    <definedName name="get_per_km">'Reference'!$E$196:$K$259</definedName>
    <definedName name="Gjperton_jet">#REF!</definedName>
    <definedName name="Go_D1_air">'Macros'!$B$147:$B$149</definedName>
    <definedName name="Go_D1_boat">'Macros'!$B$151:$B$153</definedName>
    <definedName name="Go_D1_Fuel">'Macros'!$B$133:$B$135</definedName>
    <definedName name="Go_D1_rail">'Macros'!$B$155:$B$157</definedName>
    <definedName name="Go_D2_Air">'Macros'!#REF!</definedName>
    <definedName name="Go_D2_Road">'Macros'!#REF!</definedName>
    <definedName name="Go_FAQ">'Macros'!$B$142:$B$145</definedName>
    <definedName name="Go_Home">'Macros'!$B$123:$B$126</definedName>
    <definedName name="Go_In1_air">'Macros'!#REF!</definedName>
    <definedName name="Go_In1_boat">'Macros'!#REF!</definedName>
    <definedName name="Go_In1_Fuel">'Macros'!#REF!</definedName>
    <definedName name="Go_In1_rail">'Macros'!#REF!</definedName>
    <definedName name="Go_In2_Air">'Macros'!$B$172:$B$174</definedName>
    <definedName name="Go_In2_Boat">'Macros'!$B$168:$B$170</definedName>
    <definedName name="Go_In2_Distance">'Macros'!$B$159:$B$162</definedName>
    <definedName name="Go_In2_Rail">'Macros'!$B$164:$B$166</definedName>
    <definedName name="Go_Introduction">'Macros'!$B$128:$B$131</definedName>
    <definedName name="Go_Reference">'Macros'!$B$137:$B$140</definedName>
    <definedName name="Go_Somewhere">'Macros'!#REF!</definedName>
    <definedName name="In2_Air">'Emissions based on distance'!$100:$100</definedName>
    <definedName name="In2_Air_total">'Emissions based on distance'!$L$100</definedName>
    <definedName name="In2_Boat">'Emissions based on distance'!$C$94:$L$94</definedName>
    <definedName name="In2_Boat_total">'Emissions based on distance'!$L$94</definedName>
    <definedName name="In2_Rail">'Emissions based on distance'!$B$70:$L$70</definedName>
    <definedName name="In2_Rail_total">'Emissions based on distance'!$L$70</definedName>
    <definedName name="IN2_Road_total">'Emissions based on distance'!$L$11</definedName>
    <definedName name="kmper_nm">#REF!</definedName>
    <definedName name="line_type">#REF!</definedName>
    <definedName name="listposition">2</definedName>
    <definedName name="Macro1">'Macros'!$A$1</definedName>
    <definedName name="Mypath">"C:\Documents and Settings\Taryn.Fransen\Local Settings\Temporary Internet Files\Content.IE5\LTET4YLA"</definedName>
    <definedName name="namestring">"[co2-mobile(1).xls]Home"</definedName>
    <definedName name="nextsheet">"[co2-mobile(1).xls]Version History"</definedName>
    <definedName name="objectname">"Button 383"</definedName>
    <definedName name="_xlnm.Print_Area" localSheetId="3">'Emissions based on distance'!$C$11:$L$121</definedName>
    <definedName name="_xlnm.Print_Area" localSheetId="2">'Emissions based on fuel use'!$C$11:$N$101</definedName>
    <definedName name="_xlnm.Print_Area" localSheetId="0">'Home'!$B$1:$P$22</definedName>
    <definedName name="_xlnm.Print_Area" localSheetId="4">'Reference'!$C$1:$M$85</definedName>
    <definedName name="_xlnm.Print_Titles" localSheetId="3">'Emissions based on distance'!$4:$10</definedName>
    <definedName name="_xlnm.Print_Titles" localSheetId="2">'Emissions based on fuel use'!$4:$10</definedName>
    <definedName name="_xlnm.Print_Titles">'Emissions based on fuel use'!$4:$10</definedName>
    <definedName name="printstart">0</definedName>
    <definedName name="RECORDER">'Macros'!$B$2:$B$209</definedName>
    <definedName name="rowat">11</definedName>
    <definedName name="rowstodo">539</definedName>
    <definedName name="Sheetslist">{"[co2-mobile(1).xls]Home","[co2-mobile(1).xls]Introduction","[co2-mobile(1).xls]Emissions based on fuel use","[co2-mobile(1).xls]Emissions based on distance","[co2-mobile(1).xls]Reference","[co2-mobile(1).xls]FAQ","[co2-mobile(1).xls]Macros","[co2-mobile(1).xls]Version History"}</definedName>
    <definedName name="ShowCloseblock">'Macros'!$B$59:$B$92</definedName>
    <definedName name="whereat">#VALUE!</definedName>
    <definedName name="whereto">"Natural_Gas_Combustion"</definedName>
    <definedName name="workbookname">"co2-mobile(1).xls"</definedName>
    <definedName name="zSee_full_size">'Macros'!$B$208:$B$220</definedName>
  </definedNames>
  <calcPr fullCalcOnLoad="1"/>
</workbook>
</file>

<file path=xl/comments2.xml><?xml version="1.0" encoding="utf-8"?>
<comments xmlns="http://schemas.openxmlformats.org/spreadsheetml/2006/main">
  <authors>
    <author>System Administrator</author>
  </authors>
  <commentList>
    <comment ref="K12" authorId="0">
      <text>
        <r>
          <rPr>
            <sz val="8"/>
            <rFont val="Tahoma"/>
            <family val="0"/>
          </rPr>
          <t xml:space="preserve">
Direct emissions are emissions from sources owned or controlled by the reporting company.
Indirect emissions are emissions that are a consequence of the activities of the reporting company, but occur from sources owned or controlled by another company.
(Also see chapter 3 &amp; 4 in GHG Protocol - 1st ed.)</t>
        </r>
      </text>
    </comment>
  </commentList>
</comments>
</file>

<file path=xl/comments3.xml><?xml version="1.0" encoding="utf-8"?>
<comments xmlns="http://schemas.openxmlformats.org/spreadsheetml/2006/main">
  <authors>
    <author>RPM Systems, Inc.</author>
    <author>System Administrator</author>
  </authors>
  <commentList>
    <comment ref="L12" authorId="0">
      <text>
        <r>
          <rPr>
            <sz val="8"/>
            <rFont val="Tahoma"/>
            <family val="0"/>
          </rPr>
          <t>Emission factors are based on lower heating values. They are sourced from IPCC, 1999, Vol. 2, Section  1, if not otherwise stated</t>
        </r>
      </text>
    </comment>
    <comment ref="I44" authorId="0">
      <text>
        <r>
          <rPr>
            <b/>
            <sz val="8"/>
            <rFont val="Tahoma"/>
            <family val="0"/>
          </rPr>
          <t>Coal varies in heat content.  Check section of Reference worksheet titled "Coal, GJ per tonne by country"</t>
        </r>
        <r>
          <rPr>
            <sz val="8"/>
            <rFont val="Tahoma"/>
            <family val="0"/>
          </rPr>
          <t xml:space="preserve">
</t>
        </r>
      </text>
    </comment>
    <comment ref="I60" authorId="0">
      <text>
        <r>
          <rPr>
            <b/>
            <sz val="8"/>
            <rFont val="Tahoma"/>
            <family val="0"/>
          </rPr>
          <t>Coal varies by country - See Reference worksheet section on coal</t>
        </r>
        <r>
          <rPr>
            <sz val="8"/>
            <rFont val="Tahoma"/>
            <family val="0"/>
          </rPr>
          <t xml:space="preserve">
</t>
        </r>
      </text>
    </comment>
    <comment ref="L44" authorId="1">
      <text>
        <r>
          <rPr>
            <b/>
            <sz val="8"/>
            <rFont val="Tahoma"/>
            <family val="0"/>
          </rPr>
          <t xml:space="preserve">IPCC emission factor for Bituminous coal
</t>
        </r>
      </text>
    </comment>
    <comment ref="L68" authorId="1">
      <text>
        <r>
          <rPr>
            <b/>
            <sz val="8"/>
            <rFont val="Tahoma"/>
            <family val="0"/>
          </rPr>
          <t xml:space="preserve">Emission factor based on lower heating value from EIA 2001, Appendix B
</t>
        </r>
      </text>
    </comment>
    <comment ref="I12" authorId="1">
      <text>
        <r>
          <rPr>
            <b/>
            <sz val="8"/>
            <rFont val="Tahoma"/>
            <family val="0"/>
          </rPr>
          <t>These are lower heating values sourced from American Petroleum Institute, 2001, if not otherwise indicated.</t>
        </r>
      </text>
    </comment>
  </commentList>
</comments>
</file>

<file path=xl/comments4.xml><?xml version="1.0" encoding="utf-8"?>
<comments xmlns="http://schemas.openxmlformats.org/spreadsheetml/2006/main">
  <authors>
    <author>A satisfied Microsoft Office user</author>
    <author>RPM Systems, Inc.</author>
    <author>System Administrator</author>
    <author>Payton Deeks</author>
    <author>Peter Gage</author>
  </authors>
  <commentList>
    <comment ref="J14" authorId="0">
      <text>
        <r>
          <rPr>
            <sz val="8"/>
            <rFont val="Tahoma"/>
            <family val="0"/>
          </rPr>
          <t xml:space="preserve">Values in this column come from look up table in refernce, similar formula, or values given by EPA for emissions control types.
</t>
        </r>
      </text>
    </comment>
    <comment ref="I27" authorId="0">
      <text>
        <r>
          <rPr>
            <sz val="8"/>
            <rFont val="Tahoma"/>
            <family val="0"/>
          </rPr>
          <t>Assumes occupancy of 1.8 persons</t>
        </r>
      </text>
    </comment>
    <comment ref="J37" authorId="0">
      <text>
        <r>
          <rPr>
            <sz val="8"/>
            <rFont val="Tahoma"/>
            <family val="0"/>
          </rPr>
          <t xml:space="preserve">See bus notes near bottom of this worksheet, and energy intensity analysis
</t>
        </r>
      </text>
    </comment>
    <comment ref="J38" authorId="0">
      <text>
        <r>
          <rPr>
            <sz val="8"/>
            <rFont val="Tahoma"/>
            <family val="0"/>
          </rPr>
          <t>See Energy Intensity Analysis on Reference Worksheet, also bus notes below.</t>
        </r>
      </text>
    </comment>
    <comment ref="J39" authorId="0">
      <text>
        <r>
          <rPr>
            <sz val="8"/>
            <rFont val="Tahoma"/>
            <family val="0"/>
          </rPr>
          <t>Using ratio developed from US and Canadian studies in reference worksheet, 3.6 times rail freight kg CO2/ mass_distance</t>
        </r>
      </text>
    </comment>
    <comment ref="I56" authorId="0">
      <text>
        <r>
          <rPr>
            <sz val="8"/>
            <rFont val="Tahoma"/>
            <family val="0"/>
          </rPr>
          <t>Assumes occupancy of 1.8 persons</t>
        </r>
      </text>
    </comment>
    <comment ref="J67" authorId="0">
      <text>
        <r>
          <rPr>
            <sz val="8"/>
            <rFont val="Tahoma"/>
            <family val="0"/>
          </rPr>
          <t>See bus notes at bottom of this worksheet</t>
        </r>
      </text>
    </comment>
    <comment ref="J68" authorId="0">
      <text>
        <r>
          <rPr>
            <sz val="8"/>
            <rFont val="Tahoma"/>
            <family val="0"/>
          </rPr>
          <t xml:space="preserve">Note: This emission factor uses the ratio developed from US and Canadian studies cited in reference worksheet: 3.6 times rail freight kg CO2/mass_distance. 
This factor is very general and should only be used if more specific data is not available.  Data on specifc a fleet, equipment type, company, transportation contractor, region, national, etc will often be more accurate (fleet-specific is generally most accurate, while national  factors are generally least accurate). Steps should be taken to determine appropriate, accurate factors for your specific situation. 
In comparison with other data sources, this factor may be near the smaller end of the spectrum of estimates of freight weight-distance factors.  US Dept. of Energy data suggests that US economy truck freight wide kg CO2/tonne-km is 2 to 3.5 times larger than .72 kg CO2/tonne-km. (Transportation Energy Data Book, 23rd Ed., US DOE, Tables 2.14, 2.15, A.6.  http://www-cta.ornl.gov/data/Index.html). However, this tool continue to cite this factor as a general estimate based on peer-reviewed studies.  </t>
        </r>
      </text>
    </comment>
    <comment ref="J73" authorId="0">
      <text>
        <r>
          <rPr>
            <sz val="8"/>
            <rFont val="Tahoma"/>
            <family val="0"/>
          </rPr>
          <t>DETR, 1999,, UK, suggests .06 kg CO2 /P-km; 
US DOT energy analysis gives 0.1068</t>
        </r>
      </text>
    </comment>
    <comment ref="J75" authorId="0">
      <text>
        <r>
          <rPr>
            <sz val="8"/>
            <rFont val="Tahoma"/>
            <family val="0"/>
          </rPr>
          <t>Multiplies diesel locomotive numbers times two, assuming generation fuel mix is slighly less carbon intensive than diesel, but generation and transmission is about 40% efficient.  This will vary considerably depending upon the carbon intensity of the national and regional fuel mix for generation of power used by railroads.</t>
        </r>
      </text>
    </comment>
    <comment ref="J96" authorId="0">
      <text>
        <r>
          <rPr>
            <sz val="8"/>
            <rFont val="Tahoma"/>
            <family val="0"/>
          </rPr>
          <t>UNEP Guidelines, page 26, quoting DETR, 1999, assuming av capacity of 2500 tonnes</t>
        </r>
      </text>
    </comment>
    <comment ref="J98" authorId="0">
      <text>
        <r>
          <rPr>
            <sz val="8"/>
            <rFont val="Tahoma"/>
            <family val="0"/>
          </rPr>
          <t>UNEP Guidelines, page 26, quoting DETR, 1999, assuming av capacity of 51,500 tonnes</t>
        </r>
      </text>
    </comment>
    <comment ref="J102" authorId="0">
      <text>
        <r>
          <rPr>
            <sz val="8"/>
            <rFont val="Tahoma"/>
            <family val="0"/>
          </rPr>
          <t>Per mile calculations derived from per kilometer factors given by DEFRA, UK, Table 5.3 in the 'Guidelines to  calculation worksheets'.</t>
        </r>
      </text>
    </comment>
    <comment ref="J105" authorId="0">
      <text>
        <r>
          <rPr>
            <sz val="8"/>
            <rFont val="Tahoma"/>
            <family val="0"/>
          </rPr>
          <t xml:space="preserve">Based on DETR values for per km metrics below
</t>
        </r>
      </text>
    </comment>
    <comment ref="J110" authorId="0">
      <text>
        <r>
          <rPr>
            <sz val="8"/>
            <rFont val="Tahoma"/>
            <family val="0"/>
          </rPr>
          <t xml:space="preserve">Short and long haul from DETR, cited on pg 25 of UNEP Guidelines,  medium haul by algebra using short and long as system of equations with two unknowns.   </t>
        </r>
      </text>
    </comment>
    <comment ref="J111" authorId="0">
      <text>
        <r>
          <rPr>
            <sz val="8"/>
            <rFont val="Tahoma"/>
            <family val="0"/>
          </rPr>
          <t>Short and long haul from DETR,  pg 23  medium haul by algebra using short and long as system of equations with two unknowns.</t>
        </r>
      </text>
    </comment>
    <comment ref="J13" authorId="0">
      <text>
        <r>
          <rPr>
            <sz val="8"/>
            <rFont val="Tahoma"/>
            <family val="0"/>
          </rPr>
          <t xml:space="preserve">Values in this column come from fuel efficiency values given in EPA table below, and  for emissions control types.
</t>
        </r>
      </text>
    </comment>
    <comment ref="I26" authorId="0">
      <text>
        <r>
          <rPr>
            <sz val="8"/>
            <rFont val="Tahoma"/>
            <family val="0"/>
          </rPr>
          <t>Assumes occupancy of 1.8 persons</t>
        </r>
      </text>
    </comment>
    <comment ref="G190" authorId="0">
      <text>
        <r>
          <rPr>
            <sz val="8"/>
            <rFont val="Tahoma"/>
            <family val="0"/>
          </rPr>
          <t xml:space="preserve">See tables in Reference worksheet
</t>
        </r>
      </text>
    </comment>
    <comment ref="H191" authorId="0">
      <text>
        <r>
          <rPr>
            <sz val="8"/>
            <rFont val="Tahoma"/>
            <family val="0"/>
          </rPr>
          <t xml:space="preserve">Values in yellow column through typical pick up trucks derived from mpg assuming 9.0167 kg CO2/gallon.
See "Converting from mpg…" on Reference page
</t>
        </r>
      </text>
    </comment>
    <comment ref="G192" authorId="0">
      <text>
        <r>
          <rPr>
            <sz val="8"/>
            <rFont val="Tahoma"/>
            <family val="0"/>
          </rPr>
          <t>RPM Systems, Inc.:
assume 20% more efficient.  Imported cars get on average 17% higher mpg 94-98, per EPA table</t>
        </r>
      </text>
    </comment>
    <comment ref="G195" authorId="0">
      <text>
        <r>
          <rPr>
            <sz val="8"/>
            <rFont val="Tahoma"/>
            <family val="0"/>
          </rPr>
          <t>RPM Systems, Inc.:
assume 20% more efficient.  Imported cars get on average 17% higher mpg 94-98, per EPA table</t>
        </r>
      </text>
    </comment>
    <comment ref="G197" authorId="0">
      <text>
        <r>
          <rPr>
            <sz val="8"/>
            <rFont val="Tahoma"/>
            <family val="0"/>
          </rPr>
          <t>EPA: 2001 Honda Insight automatic; manual gets 64 mpg (68hgwy, 61city)</t>
        </r>
      </text>
    </comment>
    <comment ref="G198" authorId="0">
      <text>
        <r>
          <rPr>
            <sz val="8"/>
            <rFont val="Tahoma"/>
            <family val="0"/>
          </rPr>
          <t xml:space="preserve">This row and those below in given in hwy/city pairs derived from median values on EPA 2001 model year listings
</t>
        </r>
      </text>
    </comment>
    <comment ref="G214" authorId="0">
      <text>
        <r>
          <rPr>
            <sz val="8"/>
            <rFont val="Tahoma"/>
            <family val="0"/>
          </rPr>
          <t xml:space="preserve">Values for remaining "typical" vehicles drawn from US EPA control-type data </t>
        </r>
      </text>
    </comment>
    <comment ref="H214" authorId="0">
      <text>
        <r>
          <rPr>
            <sz val="8"/>
            <rFont val="Tahoma"/>
            <family val="0"/>
          </rPr>
          <t xml:space="preserve">Values below this point in yellow column are taken or interpolated from EPA table on mpg and emissions for control types, table C10,  US EPA Inventory of US Ghg Emissions and Sinks, 1990-1998
</t>
        </r>
      </text>
    </comment>
    <comment ref="H222" authorId="0">
      <text>
        <r>
          <rPr>
            <sz val="8"/>
            <rFont val="Tahoma"/>
            <family val="0"/>
          </rPr>
          <t xml:space="preserve">Calculated from mpg using method of lookup table on reference sheet
</t>
        </r>
      </text>
    </comment>
    <comment ref="J79" authorId="1">
      <text>
        <r>
          <rPr>
            <sz val="8"/>
            <rFont val="Tahoma"/>
            <family val="2"/>
          </rPr>
          <t>Retec:  Multiply diesel emissions per unit by 26.3/20.2, the ratio of CO2 emissions per gigajoule, coal to diesel.</t>
        </r>
        <r>
          <rPr>
            <sz val="8"/>
            <rFont val="Tahoma"/>
            <family val="0"/>
          </rPr>
          <t xml:space="preserve">
</t>
        </r>
      </text>
    </comment>
    <comment ref="J17" authorId="1">
      <text>
        <r>
          <rPr>
            <b/>
            <sz val="8"/>
            <rFont val="Tahoma"/>
            <family val="0"/>
          </rPr>
          <t>Derived from EPA</t>
        </r>
        <r>
          <rPr>
            <sz val="8"/>
            <rFont val="Tahoma"/>
            <family val="0"/>
          </rPr>
          <t xml:space="preserve"> based on 178 g/km
</t>
        </r>
      </text>
    </comment>
    <comment ref="F13" authorId="2">
      <text>
        <r>
          <rPr>
            <b/>
            <sz val="8"/>
            <rFont val="Tahoma"/>
            <family val="0"/>
          </rPr>
          <t>Miles per Gallon (MPG) values given here are based on EPA, USA(See below the worksheet titled 'miles per gallon for typical vehicles'). Please use local mpg (or kms per litre) values if available. You may use the optional table to the right to calculate emission factor based on local/custom vehicle efficiency values.</t>
        </r>
      </text>
    </comment>
    <comment ref="I124" authorId="3">
      <text>
        <r>
          <rPr>
            <b/>
            <sz val="8"/>
            <rFont val="Tahoma"/>
            <family val="0"/>
          </rPr>
          <t>Conversion factors obtained from Worksheet Conversion Factors</t>
        </r>
      </text>
    </comment>
    <comment ref="J84" authorId="4">
      <text>
        <r>
          <rPr>
            <sz val="8"/>
            <rFont val="Tahoma"/>
            <family val="0"/>
          </rPr>
          <t xml:space="preserve">See source 1 below
 under emission factors for train travel
</t>
        </r>
      </text>
    </comment>
    <comment ref="J86" authorId="4">
      <text>
        <r>
          <rPr>
            <sz val="8"/>
            <rFont val="Tahoma"/>
            <family val="0"/>
          </rPr>
          <t xml:space="preserve">((76.759 million gallons diesel [TEDB]* 10.14 kg CO2/gallon [EIA] + (470.17 million kwh [TEDB] * 1.34 lbs CO2/ kwh [EIA] * 0.4536 kg/lb [conversion] )/ 5574 million revenue passenger miles [TEDB]
See source 2 below. </t>
        </r>
      </text>
    </comment>
    <comment ref="J88" authorId="4">
      <text>
        <r>
          <rPr>
            <sz val="8"/>
            <rFont val="Tahoma"/>
            <family val="0"/>
          </rPr>
          <t>4012 million kWh[TEDB]/ 15200 million psgr-miles [TEDB] * 1.34 lbsCO2/kwh [EIA] * 0.4536 kgCO2/lbsCO2 [conversion]
See source 3 below</t>
        </r>
      </text>
    </comment>
    <comment ref="G87" authorId="4">
      <text>
        <r>
          <rPr>
            <sz val="8"/>
            <rFont val="Tahoma"/>
            <family val="0"/>
          </rPr>
          <t>Note: transit rail is defined as light and heavy rail. For definitions, please see 
http://www.apta.com/info/define/mode.htm</t>
        </r>
      </text>
    </comment>
    <comment ref="J90" authorId="4">
      <text>
        <r>
          <rPr>
            <sz val="8"/>
            <rFont val="Tahoma"/>
            <family val="0"/>
          </rPr>
          <t>((70.818 million gallons diesel [TEDB]* 10.14 kg CO2/gallon [EIA] + (1370 million kwh [TEDB] * 1.34 lbs CO2/ kwh [EIA] * 0.4536 kg/lb [conversion] )/ 9402 million revenue passenger miles [TEDB]
See source4 below</t>
        </r>
      </text>
    </comment>
    <comment ref="J92" authorId="4">
      <text>
        <r>
          <rPr>
            <sz val="8"/>
            <rFont val="Tahoma"/>
            <family val="2"/>
          </rPr>
          <t xml:space="preserve">See source 5 below under Emission factors for train travel </t>
        </r>
      </text>
    </comment>
    <comment ref="G89" authorId="4">
      <text>
        <r>
          <rPr>
            <b/>
            <sz val="8"/>
            <rFont val="Tahoma"/>
            <family val="0"/>
          </rPr>
          <t>Peter Gage:</t>
        </r>
        <r>
          <rPr>
            <sz val="8"/>
            <rFont val="Tahoma"/>
            <family val="0"/>
          </rPr>
          <t xml:space="preserve">
Note: commuter rail is defined at http://www.apta.com/info/define/mode.htm. A list of US agencies that are considered commuter rail can be found at http://www.apta.com/stats/modesumm/cragency.htm</t>
        </r>
      </text>
    </comment>
  </commentList>
</comments>
</file>

<file path=xl/comments5.xml><?xml version="1.0" encoding="utf-8"?>
<comments xmlns="http://schemas.openxmlformats.org/spreadsheetml/2006/main">
  <authors>
    <author>RPM Systems, Inc.</author>
  </authors>
  <commentList>
    <comment ref="L157" authorId="0">
      <text>
        <r>
          <rPr>
            <b/>
            <sz val="8"/>
            <rFont val="Tahoma"/>
            <family val="0"/>
          </rPr>
          <t>Rttec:  1.025*9.765, adjustment for lower heat X per gallon figure given in UNEP</t>
        </r>
        <r>
          <rPr>
            <sz val="8"/>
            <rFont val="Tahoma"/>
            <family val="0"/>
          </rPr>
          <t xml:space="preserve">
</t>
        </r>
      </text>
    </comment>
    <comment ref="G158" authorId="0">
      <text>
        <r>
          <rPr>
            <b/>
            <sz val="8"/>
            <rFont val="Tahoma"/>
            <family val="0"/>
          </rPr>
          <t>Retec:  inferred from gasoline</t>
        </r>
        <r>
          <rPr>
            <sz val="8"/>
            <rFont val="Tahoma"/>
            <family val="0"/>
          </rPr>
          <t xml:space="preserve">
</t>
        </r>
      </text>
    </comment>
    <comment ref="M159" authorId="0">
      <text>
        <r>
          <rPr>
            <b/>
            <sz val="8"/>
            <rFont val="Tahoma"/>
            <family val="0"/>
          </rPr>
          <t>Retec:  inferred from IEA density relative to gasoline</t>
        </r>
      </text>
    </comment>
    <comment ref="M163" authorId="0">
      <text>
        <r>
          <rPr>
            <b/>
            <sz val="8"/>
            <rFont val="Tahoma"/>
            <family val="0"/>
          </rPr>
          <t>Retec:  inferred from IEA density relative to gasoline</t>
        </r>
        <r>
          <rPr>
            <sz val="8"/>
            <rFont val="Tahoma"/>
            <family val="0"/>
          </rPr>
          <t xml:space="preserve">
</t>
        </r>
      </text>
    </comment>
    <comment ref="J157" authorId="0">
      <text>
        <r>
          <rPr>
            <b/>
            <sz val="8"/>
            <rFont val="Tahoma"/>
            <family val="0"/>
          </rPr>
          <t xml:space="preserve">Retec: from IPCC quoted by UNEP p 44.
</t>
        </r>
        <r>
          <rPr>
            <sz val="8"/>
            <rFont val="Tahoma"/>
            <family val="0"/>
          </rPr>
          <t xml:space="preserve">
</t>
        </r>
      </text>
    </comment>
  </commentList>
</comments>
</file>

<file path=xl/sharedStrings.xml><?xml version="1.0" encoding="utf-8"?>
<sst xmlns="http://schemas.openxmlformats.org/spreadsheetml/2006/main" count="1531" uniqueCount="1020">
  <si>
    <t xml:space="preserve">Companies that wish to calculate global warming from N2O and CH4 can do so as a last step, by multiplying their total CO2 emissions  </t>
  </si>
  <si>
    <t>with an appropriate small percentage.  This is justified because the ratio of N2O and CH4 to CO2 emissions from combustion varies little</t>
  </si>
  <si>
    <t>across fuels and equipment.</t>
  </si>
  <si>
    <t>Calculation Approaches</t>
  </si>
  <si>
    <t>Fuel used</t>
  </si>
  <si>
    <t>Suggested Sequence</t>
  </si>
  <si>
    <t>Make a back-up copy of this workbook, in its blank unused state.</t>
  </si>
  <si>
    <t>Complete each of the applicable worksheets, filling in relevant light green cells and optional values in cells shaded light blue. To add a data</t>
  </si>
  <si>
    <t>entry row similar to an existing row, select the existing row, then click on the Add a Row button.  A new row will be inserted below</t>
  </si>
  <si>
    <t>Print the Summary page.  Make a back-up copy of this completed workbook.</t>
  </si>
  <si>
    <t>Top Tips</t>
  </si>
  <si>
    <t>Color Scheme:</t>
  </si>
  <si>
    <t>Help</t>
  </si>
  <si>
    <t>Enter data</t>
  </si>
  <si>
    <t>Optional data entry</t>
  </si>
  <si>
    <t>Auto calculated</t>
  </si>
  <si>
    <t>Default values</t>
  </si>
  <si>
    <t>Warnings</t>
  </si>
  <si>
    <t>green cells</t>
  </si>
  <si>
    <t>light blue cells</t>
  </si>
  <si>
    <t>value in gray cells</t>
  </si>
  <si>
    <t>light yellow cells</t>
  </si>
  <si>
    <t>layout and formulas will be inserted beneath the row you selected.  Be sure to change the user-supplied values!</t>
  </si>
  <si>
    <t>A</t>
  </si>
  <si>
    <t>B</t>
  </si>
  <si>
    <t>C</t>
  </si>
  <si>
    <t>D</t>
  </si>
  <si>
    <t>E1</t>
  </si>
  <si>
    <t>E2</t>
  </si>
  <si>
    <t>F</t>
  </si>
  <si>
    <t>G1</t>
  </si>
  <si>
    <t>G2</t>
  </si>
  <si>
    <t>I</t>
  </si>
  <si>
    <t>Energy used</t>
  </si>
  <si>
    <t>Emissions Factor</t>
  </si>
  <si>
    <t>0.03023 GJ/kg</t>
  </si>
  <si>
    <t>0.02860 GJ / kg</t>
  </si>
  <si>
    <t>Use optional calculator to the right for calculating miles traveled based on number of flights (short, medium or long)</t>
  </si>
  <si>
    <t>Emissions</t>
  </si>
  <si>
    <t>Type of Fuel Used</t>
  </si>
  <si>
    <t>GJ per Fuel Unit</t>
  </si>
  <si>
    <t>GJ energy</t>
  </si>
  <si>
    <t>kg CO2 per GJ</t>
  </si>
  <si>
    <t>metric tons</t>
  </si>
  <si>
    <t>Amount of</t>
  </si>
  <si>
    <t>Fuel</t>
  </si>
  <si>
    <t>Default</t>
  </si>
  <si>
    <t>Custom</t>
  </si>
  <si>
    <t>Used</t>
  </si>
  <si>
    <t>H =FxG/1000</t>
  </si>
  <si>
    <t>Source Description</t>
  </si>
  <si>
    <t>fuel used</t>
  </si>
  <si>
    <t>Units</t>
  </si>
  <si>
    <t>Type</t>
  </si>
  <si>
    <t>GJ/unit</t>
  </si>
  <si>
    <t>F = B x E</t>
  </si>
  <si>
    <t>kg CO2/GJ</t>
  </si>
  <si>
    <t>CO2/GJ</t>
  </si>
  <si>
    <t>Metric ton  CO2</t>
  </si>
  <si>
    <t>Sample fleet</t>
  </si>
  <si>
    <t>US gals</t>
  </si>
  <si>
    <t>Gasoline</t>
  </si>
  <si>
    <t>Imp. gals</t>
  </si>
  <si>
    <t>Liters</t>
  </si>
  <si>
    <t>Metric tons</t>
  </si>
  <si>
    <t>Diesel</t>
  </si>
  <si>
    <t>lbs.</t>
  </si>
  <si>
    <t>CNG</t>
  </si>
  <si>
    <t>kg</t>
  </si>
  <si>
    <t>LPG</t>
  </si>
  <si>
    <t>Residual</t>
  </si>
  <si>
    <t>Imp gals</t>
  </si>
  <si>
    <t>Barrels</t>
  </si>
  <si>
    <t>Short tons</t>
  </si>
  <si>
    <t>Coal</t>
  </si>
  <si>
    <t>Other fuel</t>
  </si>
  <si>
    <t>Jet kerosene</t>
  </si>
  <si>
    <t>Last row above totals enter no data here</t>
  </si>
  <si>
    <t>Total</t>
  </si>
  <si>
    <t>NOTES</t>
  </si>
  <si>
    <t>GJ/tonne</t>
  </si>
  <si>
    <t>C1</t>
  </si>
  <si>
    <t>C2</t>
  </si>
  <si>
    <t>E</t>
  </si>
  <si>
    <t>F1</t>
  </si>
  <si>
    <t>G</t>
  </si>
  <si>
    <t>Vehicle Characteristics</t>
  </si>
  <si>
    <t>CO2/km traveled</t>
  </si>
  <si>
    <t>liters /</t>
  </si>
  <si>
    <t>Vehicle Type</t>
  </si>
  <si>
    <t>100km</t>
  </si>
  <si>
    <t>mpg</t>
  </si>
  <si>
    <t>gram CO2 / km</t>
  </si>
  <si>
    <t>Average vehicles on road, by calendar year</t>
  </si>
  <si>
    <t>US 1997, passenger auto</t>
  </si>
  <si>
    <t>US 1997, other 2 axle vehicle</t>
  </si>
  <si>
    <t>EU 1997, pasenger auto</t>
  </si>
  <si>
    <t>US 1990, passenger auto</t>
  </si>
  <si>
    <t>US 1990, other 2 axle vehicle</t>
  </si>
  <si>
    <t>EU 1990, pasenger auto</t>
  </si>
  <si>
    <t>Typical vehicles (recent vintage)</t>
  </si>
  <si>
    <t>New small gas/electric hybrid</t>
  </si>
  <si>
    <t>Small gas auto, hghwy</t>
  </si>
  <si>
    <t xml:space="preserve">  Small gas auto, city</t>
  </si>
  <si>
    <t>Medium gas auto, hghwy</t>
  </si>
  <si>
    <t xml:space="preserve">  Medium gas auto, city</t>
  </si>
  <si>
    <t>Large gas automobile, hwy</t>
  </si>
  <si>
    <t xml:space="preserve">  Large gas automobile, city</t>
  </si>
  <si>
    <t>Medium Station wagon, hwy</t>
  </si>
  <si>
    <t xml:space="preserve">  Med Station wagon, city</t>
  </si>
  <si>
    <t>Mini Van, hwy</t>
  </si>
  <si>
    <t xml:space="preserve">  Mini Van, city</t>
  </si>
  <si>
    <t>Large Van, hwy</t>
  </si>
  <si>
    <t xml:space="preserve">  Large Van, city</t>
  </si>
  <si>
    <t>Mid size. Pick-up Trucks, hwy</t>
  </si>
  <si>
    <t xml:space="preserve">  Pick-up Trucks, city</t>
  </si>
  <si>
    <t>Large Pick-up Trucks, hwy</t>
  </si>
  <si>
    <t xml:space="preserve">  Large Pick-up Trucks, city</t>
  </si>
  <si>
    <t>LPG automobile</t>
  </si>
  <si>
    <t>The intellectual property rights of this calculation tool belong to WRI and WBCSD, unless stated otherwise in any of the tools.</t>
  </si>
  <si>
    <t>Please cite the orginial reference when using this tool.</t>
  </si>
  <si>
    <t>Diesel automobile</t>
  </si>
  <si>
    <t>Gasoline light truck</t>
  </si>
  <si>
    <t>Gasoline heavy truck</t>
  </si>
  <si>
    <t>Diesel light truck</t>
  </si>
  <si>
    <t>Diesel heavy truck</t>
  </si>
  <si>
    <t>Light motorcycle</t>
  </si>
  <si>
    <t>Diesel bus</t>
  </si>
  <si>
    <t>gasoline</t>
  </si>
  <si>
    <t>diesel</t>
  </si>
  <si>
    <t>short haul</t>
  </si>
  <si>
    <t>long haul</t>
  </si>
  <si>
    <t>Transportation Activity</t>
  </si>
  <si>
    <t>CO2 emissions</t>
  </si>
  <si>
    <t>Energy</t>
  </si>
  <si>
    <t>Amount</t>
  </si>
  <si>
    <t>kg CO2 per unit</t>
  </si>
  <si>
    <t>Total emissions</t>
  </si>
  <si>
    <t>of</t>
  </si>
  <si>
    <t>Transport description</t>
  </si>
  <si>
    <t>Activity</t>
  </si>
  <si>
    <t>Activity unit</t>
  </si>
  <si>
    <t>CO2/unit</t>
  </si>
  <si>
    <t>F = CxE/1000</t>
  </si>
  <si>
    <t>Measurements in Miles:</t>
  </si>
  <si>
    <t>small gas auto 29 mpg</t>
  </si>
  <si>
    <t>vehicle miles</t>
  </si>
  <si>
    <t>med gas auto 23 mpg</t>
  </si>
  <si>
    <t>large gas auto 19 mpg</t>
  </si>
  <si>
    <t>passenger miles</t>
  </si>
  <si>
    <t>bus (diesel)- long distance</t>
  </si>
  <si>
    <t>bus (diesel)- urban transit</t>
  </si>
  <si>
    <t>road freight</t>
  </si>
  <si>
    <t>short ton miles</t>
  </si>
  <si>
    <t>Measurements in Kilometers:</t>
  </si>
  <si>
    <t>vehicle kilometers</t>
  </si>
  <si>
    <t>passenger kilometers</t>
  </si>
  <si>
    <t>diesel locomotive</t>
  </si>
  <si>
    <t>electric locomotive</t>
  </si>
  <si>
    <t>Inland shipping</t>
  </si>
  <si>
    <t>Marine shipping</t>
  </si>
  <si>
    <t>flight of 300 km</t>
  </si>
  <si>
    <t>flight of 900 km</t>
  </si>
  <si>
    <t>nonstop flight 2719 km</t>
  </si>
  <si>
    <t>See more factors below</t>
  </si>
  <si>
    <t>Total for indirect emissions calculated from distance traveled</t>
  </si>
  <si>
    <t>Optional method to calculate CO2 factor for passenger kilometers for one-stop flights of different lengths</t>
  </si>
  <si>
    <t>length of flight in km</t>
  </si>
  <si>
    <t>factor= kg CO2 per passenger km</t>
  </si>
  <si>
    <t>Derivation by algebra from DETR factors</t>
  </si>
  <si>
    <t xml:space="preserve"> kg CO2/passenger km (DETR</t>
  </si>
  <si>
    <t>X+452y =.18*452</t>
  </si>
  <si>
    <t>X+6342y=.11*6342</t>
  </si>
  <si>
    <t>enter your flight length here:</t>
  </si>
  <si>
    <t xml:space="preserve"> kg CO2/passenger km (inferred from DETR)</t>
  </si>
  <si>
    <t>y =</t>
  </si>
  <si>
    <t>kg/traveled km in air</t>
  </si>
  <si>
    <t xml:space="preserve"> x =</t>
  </si>
  <si>
    <t>kg per passenger take off</t>
  </si>
  <si>
    <t>Passenger calculations for bus travel based on ridership</t>
  </si>
  <si>
    <t>Average miles per gallon, 6.7</t>
  </si>
  <si>
    <t>Assumed urban</t>
  </si>
  <si>
    <t>Average</t>
  </si>
  <si>
    <t>Assumed intercity</t>
  </si>
  <si>
    <t>Miles per gallon:</t>
  </si>
  <si>
    <t>Grams CO2/mile, per bus</t>
  </si>
  <si>
    <t>g/ psgr Mile, 5 pasengers</t>
  </si>
  <si>
    <t>shaded cells approximate estimates derived from Btu/passenger mile estimates from US DOT</t>
  </si>
  <si>
    <t>g/ psgr Mile, 10 pasengers</t>
  </si>
  <si>
    <t>g/ psgr Mile, 15 pasengers</t>
  </si>
  <si>
    <t>g/ psgr Mile, 20 pasengers</t>
  </si>
  <si>
    <t>g/ psgr Mile, 30 pasengers</t>
  </si>
  <si>
    <t>g/ psgr km, 5 pasengers</t>
  </si>
  <si>
    <t>g/ psgr km, 10 pasengers</t>
  </si>
  <si>
    <t>g/ psgr km, 15 pasengers</t>
  </si>
  <si>
    <t>g/ psgr km, 20 pasengers</t>
  </si>
  <si>
    <t>g/ psgr km, 30 pasengers</t>
  </si>
  <si>
    <t>Energy and Weight</t>
  </si>
  <si>
    <t>Weight</t>
  </si>
  <si>
    <t>1 calorie IT</t>
  </si>
  <si>
    <t>=</t>
  </si>
  <si>
    <t>Joules</t>
  </si>
  <si>
    <t xml:space="preserve">1 short ton </t>
  </si>
  <si>
    <t>tonne</t>
  </si>
  <si>
    <t xml:space="preserve">1 TJ </t>
  </si>
  <si>
    <t>GWh</t>
  </si>
  <si>
    <t xml:space="preserve">1 tonne </t>
  </si>
  <si>
    <t>short tons</t>
  </si>
  <si>
    <t xml:space="preserve">1 GJ </t>
  </si>
  <si>
    <t>kWh</t>
  </si>
  <si>
    <t>kilograms</t>
  </si>
  <si>
    <t>1 tonne oil equivalent (toe)</t>
  </si>
  <si>
    <t>calories</t>
  </si>
  <si>
    <r>
      <t>Possible Methods and Related Emission Factors to Calculate CO</t>
    </r>
    <r>
      <rPr>
        <b/>
        <vertAlign val="subscript"/>
        <sz val="12"/>
        <rFont val="Arial"/>
        <family val="2"/>
      </rPr>
      <t>2</t>
    </r>
    <r>
      <rPr>
        <b/>
        <sz val="12"/>
        <rFont val="Arial"/>
        <family val="2"/>
      </rPr>
      <t xml:space="preserve"> Emissions </t>
    </r>
  </si>
  <si>
    <t>from Mobile Sources</t>
  </si>
  <si>
    <t xml:space="preserve">Fuel used </t>
  </si>
  <si>
    <t>Distance</t>
  </si>
  <si>
    <t>Traveled</t>
  </si>
  <si>
    <t>Fuel per distance</t>
  </si>
  <si>
    <t>factor</t>
  </si>
  <si>
    <t>emissions</t>
  </si>
  <si>
    <t>per fuel</t>
  </si>
  <si>
    <t>per distance</t>
  </si>
  <si>
    <r>
      <t>Blue</t>
    </r>
    <r>
      <rPr>
        <sz val="10"/>
        <rFont val="Arial"/>
        <family val="0"/>
      </rPr>
      <t xml:space="preserve"> line shows calculation sequence for Based on Fuels Worksheet</t>
    </r>
  </si>
  <si>
    <r>
      <t>Brown</t>
    </r>
    <r>
      <rPr>
        <sz val="10"/>
        <rFont val="Arial"/>
        <family val="0"/>
      </rPr>
      <t xml:space="preserve"> line shows caculation sequence for Based on Distance Worksheet</t>
    </r>
  </si>
  <si>
    <r>
      <t>Dotted</t>
    </r>
    <r>
      <rPr>
        <sz val="10"/>
        <rFont val="Arial"/>
        <family val="0"/>
      </rPr>
      <t xml:space="preserve"> line shows emission factors built into the calculation of emissions per distance factor</t>
    </r>
  </si>
  <si>
    <t>recommended that you compile emission factors that accurately reflect the characteristics of the equipment and technology you are operating.</t>
  </si>
  <si>
    <t>Navigate from one spreadsheet to another using  the tabs at the bottom of your screen.</t>
  </si>
  <si>
    <t xml:space="preserve">To fit the active section of the workbook to your screen, adjust the zoom percentage shown in the Stardard icon bar.  </t>
  </si>
  <si>
    <r>
      <t xml:space="preserve">Click on "Twisties" </t>
    </r>
    <r>
      <rPr>
        <b/>
        <sz val="14"/>
        <rFont val="Arial Black"/>
        <family val="2"/>
      </rPr>
      <t xml:space="preserve"> </t>
    </r>
    <r>
      <rPr>
        <b/>
        <sz val="14"/>
        <color indexed="57"/>
        <rFont val="Webdings"/>
        <family val="1"/>
      </rPr>
      <t>6 4</t>
    </r>
    <r>
      <rPr>
        <b/>
        <sz val="10"/>
        <rFont val="Arial Black"/>
        <family val="2"/>
      </rPr>
      <t xml:space="preserve">  </t>
    </r>
    <r>
      <rPr>
        <b/>
        <sz val="10"/>
        <rFont val="Arial"/>
        <family val="2"/>
      </rPr>
      <t xml:space="preserve"> </t>
    </r>
    <r>
      <rPr>
        <sz val="10"/>
        <rFont val="Arial"/>
        <family val="0"/>
      </rPr>
      <t xml:space="preserve"> to expand and collapse sections.</t>
    </r>
  </si>
  <si>
    <t xml:space="preserve">Select a data entry row you would like to copy, then click on the "Add a Line" button located near the top of each worksheet page.  </t>
  </si>
  <si>
    <t>How can I delete a row?</t>
  </si>
  <si>
    <t>We are not expecting users to delete rows.  However, if you wish to delete a row, select the entire row and delete it using the Edit menu delete command.</t>
  </si>
  <si>
    <t>Deleting a row will create errors, because it confuses the numbering scheme in hidden column A that is used to display and collapse the appropriate</t>
  </si>
  <si>
    <t>number of rows in each section. To rememdy these errors, after deleting a row,  USE THE TOOLS/ MACRO COMMAND</t>
  </si>
  <si>
    <t>Last revised 10/10/2001  David Cross  203-776-2358  ext 225</t>
  </si>
  <si>
    <t xml:space="preserve">1 kilotonne </t>
  </si>
  <si>
    <t>gigagram</t>
  </si>
  <si>
    <t>103 toe</t>
  </si>
  <si>
    <t>TJ</t>
  </si>
  <si>
    <t xml:space="preserve">1 kilogram </t>
  </si>
  <si>
    <t>lbs</t>
  </si>
  <si>
    <t>1 Btu</t>
  </si>
  <si>
    <t>1 lb</t>
  </si>
  <si>
    <t>grams</t>
  </si>
  <si>
    <t>Volume Conversions</t>
  </si>
  <si>
    <t>US gallon</t>
  </si>
  <si>
    <t>UK gallon</t>
  </si>
  <si>
    <t>Barrel</t>
  </si>
  <si>
    <t>From:</t>
  </si>
  <si>
    <t>multiply by</t>
  </si>
  <si>
    <t>Source UNEP Guidelines, 2000 pg 54</t>
  </si>
  <si>
    <t>Distance Factors and Conversions</t>
  </si>
  <si>
    <t>Linear Measure:  English Unit</t>
  </si>
  <si>
    <t>Metric Units</t>
  </si>
  <si>
    <t>1 inch</t>
  </si>
  <si>
    <t>1000 mil</t>
  </si>
  <si>
    <t>centimeters (cm)</t>
  </si>
  <si>
    <t>1 foot (ft)</t>
  </si>
  <si>
    <t>12 inches</t>
  </si>
  <si>
    <t>cm</t>
  </si>
  <si>
    <t>or</t>
  </si>
  <si>
    <t>meters (M)</t>
  </si>
  <si>
    <t>1 yard</t>
  </si>
  <si>
    <t>36 inches</t>
  </si>
  <si>
    <t>1 mile</t>
  </si>
  <si>
    <t>5280 ft</t>
  </si>
  <si>
    <t>kilometers (km)</t>
  </si>
  <si>
    <t xml:space="preserve"> or </t>
  </si>
  <si>
    <t>nautical miles (nm)</t>
  </si>
  <si>
    <t>1 nautical mile</t>
  </si>
  <si>
    <t>1.149 miles</t>
  </si>
  <si>
    <t>To convert miles per gallon to liters per 100 km, divide 100 by (mpg/3.785*1.6093)</t>
  </si>
  <si>
    <t>approach or approaches which make best use of available data. When fuel use data is available, it is usually more reliable than distance data.</t>
  </si>
  <si>
    <r>
      <t>1.</t>
    </r>
    <r>
      <rPr>
        <sz val="10"/>
        <rFont val="Arial"/>
        <family val="2"/>
      </rPr>
      <t xml:space="preserve"> This factor is very general and should only be used if more specific data is not available.  Data on specifc a fleet, equipment type, company, transportation contractor, region, national, etc will often be more accurate (fleet-specific is generally most accurate, while national  factors are generally least accurate). Steps should be taken to determine appropriate, accurate factors for your specific situation. 
In comparison with other data sources, this factor may be near the smaller end of the spectrum of estimates of freight weight-distance factors.  US Dept. of Energy data suggests that US economy truck freight wide kg CO2/tonne-km is 2 to 3.5 times larger than .72 kg CO2/tonne-km. (Transportation Energy Data Book, 23rd Ed., US DOE, Tables 2.14, 2.15, A.6.  http://www-cta.ornl.gov/data/Index.html). However, this tool continue to cite this factor as a general estimate based on peer-reviewed studies.  
</t>
    </r>
  </si>
  <si>
    <t xml:space="preserve">are so small and uncertain that they may be ignored in the calcuation.  Each gram of CH4 and N2O has a greater impact on climate than a </t>
  </si>
  <si>
    <t xml:space="preserve"> = litres per 100 km</t>
  </si>
  <si>
    <t>litres</t>
  </si>
  <si>
    <t xml:space="preserve">Water transportation </t>
  </si>
  <si>
    <t>Note:  Gallons are US Gallons</t>
  </si>
  <si>
    <t>Converting Energy Units (worksheet)</t>
  </si>
  <si>
    <t>Convert fuel use from</t>
  </si>
  <si>
    <t>To</t>
  </si>
  <si>
    <t>Megajoule</t>
  </si>
  <si>
    <t>Btus</t>
  </si>
  <si>
    <t>Tonne oil</t>
  </si>
  <si>
    <t>Kilowatt</t>
  </si>
  <si>
    <t>Gigajoule</t>
  </si>
  <si>
    <t>(MJ)</t>
  </si>
  <si>
    <t>equivalent (toe)</t>
  </si>
  <si>
    <t>hours (kWh)</t>
  </si>
  <si>
    <t>(GJ)</t>
  </si>
  <si>
    <r>
      <t xml:space="preserve">1 x 10 </t>
    </r>
    <r>
      <rPr>
        <vertAlign val="superscript"/>
        <sz val="9"/>
        <rFont val="Arial"/>
        <family val="2"/>
      </rPr>
      <t>-3</t>
    </r>
  </si>
  <si>
    <r>
      <t xml:space="preserve">1.05506 x 10 </t>
    </r>
    <r>
      <rPr>
        <vertAlign val="superscript"/>
        <sz val="9"/>
        <rFont val="Arial"/>
        <family val="2"/>
      </rPr>
      <t>-6</t>
    </r>
  </si>
  <si>
    <r>
      <t xml:space="preserve">3.6 x 10 </t>
    </r>
    <r>
      <rPr>
        <vertAlign val="superscript"/>
        <sz val="9"/>
        <rFont val="Arial"/>
        <family val="2"/>
      </rPr>
      <t>-3</t>
    </r>
  </si>
  <si>
    <t>Fuel type</t>
  </si>
  <si>
    <t>Sample</t>
  </si>
  <si>
    <t xml:space="preserve">Sources: </t>
  </si>
  <si>
    <t>International Energy Annual, 1998     http://www.eia.doe.gov/emeu/iea/convheat.html</t>
  </si>
  <si>
    <t>BP Group Reporting Guidelines, 2000</t>
  </si>
  <si>
    <t>Converting Mass Units (worksheet)</t>
  </si>
  <si>
    <t>Long tons</t>
  </si>
  <si>
    <t>Pounds (lb)</t>
  </si>
  <si>
    <t>4.5359 x 10 -4</t>
  </si>
  <si>
    <t>grams (g)</t>
  </si>
  <si>
    <t>gigajoules (GJ)</t>
  </si>
  <si>
    <t>Kg C02 per Delivered Kwh varies between 0 and 1.4, depending upon fuel mix and efficiency</t>
  </si>
  <si>
    <t>Fuel Source for Generation</t>
  </si>
  <si>
    <t>Nuclear</t>
  </si>
  <si>
    <t>Wind, Water</t>
  </si>
  <si>
    <t xml:space="preserve">Natural </t>
  </si>
  <si>
    <t xml:space="preserve">Residual </t>
  </si>
  <si>
    <t>Avg.</t>
  </si>
  <si>
    <t>Hydrogen</t>
  </si>
  <si>
    <t>Gas</t>
  </si>
  <si>
    <t>Oil</t>
  </si>
  <si>
    <t>Sample 1996 factors</t>
  </si>
  <si>
    <t>kg CO2 per kWh</t>
  </si>
  <si>
    <t>Generation and</t>
  </si>
  <si>
    <t>Australia</t>
  </si>
  <si>
    <t>Transmission</t>
  </si>
  <si>
    <t>Cananda</t>
  </si>
  <si>
    <t>Efficiency</t>
  </si>
  <si>
    <t>Denmark</t>
  </si>
  <si>
    <t>France</t>
  </si>
  <si>
    <t>Germany</t>
  </si>
  <si>
    <t>Ireland</t>
  </si>
  <si>
    <t>Japan</t>
  </si>
  <si>
    <t>Kazakhstan</t>
  </si>
  <si>
    <t>Mexico</t>
  </si>
  <si>
    <t>Norway</t>
  </si>
  <si>
    <t>Poland</t>
  </si>
  <si>
    <t>United Kingdom</t>
  </si>
  <si>
    <t>USA</t>
  </si>
  <si>
    <t>Source of 100% conversion factor is Table 3:  Default</t>
  </si>
  <si>
    <t>carbon dioxide emissions from  The GHG Indicator:</t>
  </si>
  <si>
    <t>UNEP Guidelines, June 2000.  Other figures calculated.</t>
  </si>
  <si>
    <t>Bold Italics represents typical efficiencies where waste heat is not utilized.</t>
  </si>
  <si>
    <t>See reference tables in the stationary combustion worksheets for specific electricity factors for countries and years</t>
  </si>
  <si>
    <t>Weight:  English Unit</t>
  </si>
  <si>
    <t>1 ounce</t>
  </si>
  <si>
    <t>1 pound (lb)</t>
  </si>
  <si>
    <t>16 ounces</t>
  </si>
  <si>
    <t>kg (kilograms)</t>
  </si>
  <si>
    <t>1 short ton (US)</t>
  </si>
  <si>
    <t>2000 lbs</t>
  </si>
  <si>
    <t>metric tonnes (t)</t>
  </si>
  <si>
    <t>1 long ton</t>
  </si>
  <si>
    <t>2240 lbs</t>
  </si>
  <si>
    <t>Volume:  English Unit</t>
  </si>
  <si>
    <t>1 cubic foot</t>
  </si>
  <si>
    <t>7.4805 gallons</t>
  </si>
  <si>
    <t>cubic meters</t>
  </si>
  <si>
    <t>1 cubic yard</t>
  </si>
  <si>
    <t>27 cubic feet</t>
  </si>
  <si>
    <t>1 quart</t>
  </si>
  <si>
    <t>4 cups</t>
  </si>
  <si>
    <t>1 US gallon</t>
  </si>
  <si>
    <t>4 quarts</t>
  </si>
  <si>
    <t>1 Imperial gallon</t>
  </si>
  <si>
    <t>1.201 US gallons</t>
  </si>
  <si>
    <t>1 Barrel of oil</t>
  </si>
  <si>
    <t>42 gallons</t>
  </si>
  <si>
    <t>Energy:  English Unit</t>
  </si>
  <si>
    <t>What do these units mean?</t>
  </si>
  <si>
    <t>0.0002929 kWh</t>
  </si>
  <si>
    <t>Joules (J)</t>
  </si>
  <si>
    <t>1 Btu or British thermal unit is the energy required to raise the temperature of a</t>
  </si>
  <si>
    <t>1 Therm</t>
  </si>
  <si>
    <t>100,000 Btu</t>
  </si>
  <si>
    <t>pound of water from 60 to 61 degrees Fahernheit.</t>
  </si>
  <si>
    <t>1 MMBtu</t>
  </si>
  <si>
    <t>1,000,000 Btu</t>
  </si>
  <si>
    <t>292.99 kWh</t>
  </si>
  <si>
    <t>1 Joule is the energy required to move 1 kg of mass through a distance of 1 meter with</t>
  </si>
  <si>
    <t>1 kWh</t>
  </si>
  <si>
    <t>3413 Btu</t>
  </si>
  <si>
    <t>Megajoules (MJ)</t>
  </si>
  <si>
    <t>speed in meters per second increasing at the rate of 1 meter per second.</t>
  </si>
  <si>
    <t>1 MWh</t>
  </si>
  <si>
    <t>1000 kWh</t>
  </si>
  <si>
    <t>1 quadrillion Btu</t>
  </si>
  <si>
    <r>
      <t>10</t>
    </r>
    <r>
      <rPr>
        <vertAlign val="superscript"/>
        <sz val="10"/>
        <rFont val="Arial"/>
        <family val="2"/>
      </rPr>
      <t xml:space="preserve">15 </t>
    </r>
    <r>
      <rPr>
        <sz val="10"/>
        <rFont val="Arial"/>
        <family val="2"/>
      </rPr>
      <t>Btu</t>
    </r>
  </si>
  <si>
    <t>exajoules (GJ)</t>
  </si>
  <si>
    <t>1 Watt is the use of 1 Joule for 1 second.</t>
  </si>
  <si>
    <t>1 kWh is the use of 1,000 Watts for one hour</t>
  </si>
  <si>
    <t>Standard International Prefixes for Units of Measure:</t>
  </si>
  <si>
    <t>kilo (k)</t>
  </si>
  <si>
    <r>
      <t>10</t>
    </r>
    <r>
      <rPr>
        <vertAlign val="superscript"/>
        <sz val="10"/>
        <rFont val="Arial"/>
        <family val="2"/>
      </rPr>
      <t xml:space="preserve">3 </t>
    </r>
    <r>
      <rPr>
        <sz val="10"/>
        <rFont val="Arial"/>
        <family val="0"/>
      </rPr>
      <t xml:space="preserve"> or 1,000</t>
    </r>
  </si>
  <si>
    <t>Note:</t>
  </si>
  <si>
    <t>mega (M)</t>
  </si>
  <si>
    <r>
      <t>10</t>
    </r>
    <r>
      <rPr>
        <vertAlign val="superscript"/>
        <sz val="10"/>
        <rFont val="Arial"/>
        <family val="2"/>
      </rPr>
      <t xml:space="preserve">6  </t>
    </r>
    <r>
      <rPr>
        <sz val="10"/>
        <rFont val="Arial"/>
        <family val="2"/>
      </rPr>
      <t>or 1,000,000</t>
    </r>
  </si>
  <si>
    <t>In English units, "m" sometimes signifies 1,000 I.e. an Mcf of gas is 1,000 cubic feet)</t>
  </si>
  <si>
    <t>giga (G)</t>
  </si>
  <si>
    <r>
      <t>10</t>
    </r>
    <r>
      <rPr>
        <vertAlign val="superscript"/>
        <sz val="10"/>
        <rFont val="Arial"/>
        <family val="2"/>
      </rPr>
      <t xml:space="preserve">9  </t>
    </r>
    <r>
      <rPr>
        <sz val="10"/>
        <rFont val="Arial"/>
        <family val="2"/>
      </rPr>
      <t>or 1,000,000,000</t>
    </r>
  </si>
  <si>
    <t>In these cases, "mm" signifies 1,000,000, as in, "mmscf " =1,000,000 scf</t>
  </si>
  <si>
    <t>tera (T)</t>
  </si>
  <si>
    <r>
      <t>10</t>
    </r>
    <r>
      <rPr>
        <vertAlign val="superscript"/>
        <sz val="10"/>
        <rFont val="Arial"/>
        <family val="2"/>
      </rPr>
      <t xml:space="preserve">12 </t>
    </r>
    <r>
      <rPr>
        <sz val="10"/>
        <rFont val="Arial"/>
        <family val="2"/>
      </rPr>
      <t>or 1,000,000,000,000</t>
    </r>
  </si>
  <si>
    <t>Also, "MMBtu" significes 1,000,000 Btus</t>
  </si>
  <si>
    <t>peta (P)</t>
  </si>
  <si>
    <r>
      <t>10</t>
    </r>
    <r>
      <rPr>
        <vertAlign val="superscript"/>
        <sz val="10"/>
        <rFont val="Arial"/>
        <family val="2"/>
      </rPr>
      <t xml:space="preserve">15 </t>
    </r>
    <r>
      <rPr>
        <sz val="10"/>
        <rFont val="Arial"/>
        <family val="2"/>
      </rPr>
      <t>or 1,000,000,000,000,000</t>
    </r>
  </si>
  <si>
    <t>exa  (E)</t>
  </si>
  <si>
    <r>
      <t>10</t>
    </r>
    <r>
      <rPr>
        <vertAlign val="superscript"/>
        <sz val="10"/>
        <rFont val="Arial"/>
        <family val="2"/>
      </rPr>
      <t xml:space="preserve">18 </t>
    </r>
    <r>
      <rPr>
        <sz val="10"/>
        <rFont val="Arial"/>
        <family val="2"/>
      </rPr>
      <t>or 1,000,000,000,000,000,000</t>
    </r>
  </si>
  <si>
    <t>dcross</t>
  </si>
  <si>
    <t>IEA</t>
  </si>
  <si>
    <t>kg CO2/tonne</t>
  </si>
  <si>
    <t>Propane</t>
  </si>
  <si>
    <t>Density:: International Energy Annual, 1998     http://www.eia.doe.gov/emeu/iea/convheat.html</t>
  </si>
  <si>
    <t>Conversion Factors and General References</t>
  </si>
  <si>
    <t>Summary of English to Metric conversions</t>
  </si>
  <si>
    <t>Emissions Factors for Electricity</t>
  </si>
  <si>
    <t>Fuel efficiency factors in this section are given in</t>
  </si>
  <si>
    <t>or derived from the table in the reference section titled</t>
  </si>
  <si>
    <t>"Miles per gallon, US cars and small trucks,  by year"</t>
  </si>
  <si>
    <t>Fuel efficiency factors in this section are averages based</t>
  </si>
  <si>
    <t>on values given for many models in each category,</t>
  </si>
  <si>
    <t>by EPA's 2001 Green Vehicle Guide</t>
  </si>
  <si>
    <t>http://www.epa.gov/autoemissions/</t>
  </si>
  <si>
    <t>Table C-10, US EPA</t>
  </si>
  <si>
    <t xml:space="preserve">Factors in next 7 lines are based on </t>
  </si>
  <si>
    <t>Inventory of US Greenhouse Gas Emisions and sinks: 1990-1998</t>
  </si>
  <si>
    <t>from miles per gallon</t>
  </si>
  <si>
    <t>from Table C-10</t>
  </si>
  <si>
    <t>[heavy] Motorcycle</t>
  </si>
  <si>
    <t>Converting from Miles per Gallon to grams CO2 per km, also Liters per 100 km</t>
  </si>
  <si>
    <t>Miles per Gallon, US cars and small trucks,  by year</t>
  </si>
  <si>
    <t>This table developed by David Cross of The RETEC Grouip.  DCross@retec.com</t>
  </si>
  <si>
    <t xml:space="preserve">                Technical Data on Fuel, 1977, J.W. Rose; J.R. Cooper</t>
  </si>
  <si>
    <t>23.53 is value given for USA, other Sample values from the table on UNEP Guidelines, pg 43, from OECD/IEA:</t>
  </si>
  <si>
    <t>21.227</t>
  </si>
  <si>
    <t>Canada</t>
  </si>
  <si>
    <t>Belgium</t>
  </si>
  <si>
    <t>Hungary</t>
  </si>
  <si>
    <t>Russia</t>
  </si>
  <si>
    <t>Brazil</t>
  </si>
  <si>
    <t>Israel</t>
  </si>
  <si>
    <t>New Zealand</t>
  </si>
  <si>
    <t>UK</t>
  </si>
  <si>
    <t>**this value varies from 25.8 to 26.8 for TC/TJ, (times 44/12 to get CO2)  1996 IPCC Guidelines - Table 1-2, Volume II.</t>
  </si>
  <si>
    <t>DETR</t>
  </si>
  <si>
    <t>kg CO2/gallon gas</t>
  </si>
  <si>
    <t>for CO2/gallon sources</t>
  </si>
  <si>
    <t xml:space="preserve"> gallon</t>
  </si>
  <si>
    <t>per mile</t>
  </si>
  <si>
    <t>mile</t>
  </si>
  <si>
    <t>g CO2/km</t>
  </si>
  <si>
    <t>100 km</t>
  </si>
  <si>
    <t xml:space="preserve"> x 1000</t>
  </si>
  <si>
    <t xml:space="preserve"> = C / D</t>
  </si>
  <si>
    <t>Shaded table to left is used as</t>
  </si>
  <si>
    <t>for distance traveled by vehicles.</t>
  </si>
  <si>
    <t>...v/ntda/nts/NTS99/data/Chapter4/4-23.html</t>
  </si>
  <si>
    <t>See also:</t>
  </si>
  <si>
    <t>http://www.bts.gov/ntda/nts/NTS99/ch4index.html</t>
  </si>
  <si>
    <t>Miles per gallon</t>
  </si>
  <si>
    <t>Transp Energy Data book:</t>
  </si>
  <si>
    <t>http://www-cta.ornl.gov/data/tedb20/Index.html</t>
  </si>
  <si>
    <t> </t>
  </si>
  <si>
    <t>Passenger car</t>
  </si>
  <si>
    <t>Other 2-axle 4-tire vehicle</t>
  </si>
  <si>
    <r>
      <t>R</t>
    </r>
    <r>
      <rPr>
        <sz val="10"/>
        <rFont val="Arial"/>
        <family val="0"/>
      </rPr>
      <t>17.2</t>
    </r>
  </si>
  <si>
    <r>
      <t>New vehicle fuel efficiency (mpg)</t>
    </r>
    <r>
      <rPr>
        <b/>
        <vertAlign val="superscript"/>
        <sz val="10"/>
        <rFont val="Arial"/>
        <family val="2"/>
      </rPr>
      <t>a</t>
    </r>
    <r>
      <rPr>
        <b/>
        <sz val="10"/>
        <rFont val="Arial"/>
        <family val="2"/>
      </rPr>
      <t xml:space="preserve"> (model year)</t>
    </r>
  </si>
  <si>
    <t>Light-duty vehicle (passenger cars plus light trucks)</t>
  </si>
  <si>
    <t>  Domestic</t>
  </si>
  <si>
    <t>  Imported</t>
  </si>
  <si>
    <t>    Passenger car</t>
  </si>
  <si>
    <t>      Domestic</t>
  </si>
  <si>
    <t>      Imported</t>
  </si>
  <si>
    <t>    Light truck (&lt;8,500 lbs GVWR)</t>
  </si>
  <si>
    <r>
      <t>R</t>
    </r>
    <r>
      <rPr>
        <sz val="10"/>
        <rFont val="Arial"/>
        <family val="0"/>
      </rPr>
      <t>22.2</t>
    </r>
  </si>
  <si>
    <t xml:space="preserve">  Passenger car</t>
  </si>
  <si>
    <t xml:space="preserve">  Light truck</t>
  </si>
  <si>
    <r>
      <t>16.0/14.0</t>
    </r>
    <r>
      <rPr>
        <vertAlign val="superscript"/>
        <sz val="10"/>
        <rFont val="Arial"/>
        <family val="0"/>
      </rPr>
      <t>b</t>
    </r>
  </si>
  <si>
    <r>
      <t>b</t>
    </r>
    <r>
      <rPr>
        <sz val="10"/>
        <rFont val="Arial"/>
        <family val="0"/>
      </rPr>
      <t>  2 Wheel Drive/4 Wheel Drive.  No combined figure available for this year.</t>
    </r>
  </si>
  <si>
    <t>Energy Intensity of Passenger Transportation</t>
  </si>
  <si>
    <t>Bureau of Transport Statistics, USDept of Transportation</t>
  </si>
  <si>
    <t>Energy Intensity of Passenger Modes-Ground (Excerpts]</t>
  </si>
  <si>
    <r>
      <t>1998</t>
    </r>
    <r>
      <rPr>
        <b/>
        <vertAlign val="superscript"/>
        <sz val="10"/>
        <rFont val="Arial"/>
        <family val="2"/>
      </rPr>
      <t>P</t>
    </r>
  </si>
  <si>
    <t>Btu per passenger mile</t>
  </si>
  <si>
    <t>Other2 axle vehicle</t>
  </si>
  <si>
    <t>Motorcycle</t>
  </si>
  <si>
    <t>Transit Motor Bus</t>
  </si>
  <si>
    <t>Amtrak</t>
  </si>
  <si>
    <t>Long distance motor bus</t>
  </si>
  <si>
    <t>(according to Davis 98, in Chapter 5, DOT Annual report for 1999</t>
  </si>
  <si>
    <r>
      <t>Energy Intensity of Certificated Air Carriers, All Services</t>
    </r>
    <r>
      <rPr>
        <b/>
        <vertAlign val="superscript"/>
        <sz val="12"/>
        <rFont val="Arial"/>
        <family val="2"/>
      </rPr>
      <t>a</t>
    </r>
  </si>
  <si>
    <t>Aircraft-miles (millions)</t>
  </si>
  <si>
    <t>Domestic operations</t>
  </si>
  <si>
    <t>International operations</t>
  </si>
  <si>
    <t>Available seat-miles (millions)</t>
  </si>
  <si>
    <t>Passenger-miles (millions)</t>
  </si>
  <si>
    <t>Fuel consumed (million gallons)</t>
  </si>
  <si>
    <r>
      <t>R</t>
    </r>
    <r>
      <rPr>
        <sz val="10"/>
        <rFont val="Arial"/>
        <family val="2"/>
      </rPr>
      <t>11,637</t>
    </r>
  </si>
  <si>
    <t>Seats per aircraft</t>
  </si>
  <si>
    <t>Seat-miles per gallon</t>
  </si>
  <si>
    <r>
      <t>Energy intensiveness (Btu/passenger-mile)</t>
    </r>
    <r>
      <rPr>
        <b/>
        <vertAlign val="superscript"/>
        <sz val="10"/>
        <rFont val="Arial"/>
        <family val="2"/>
      </rPr>
      <t>b</t>
    </r>
  </si>
  <si>
    <t>Load factor (%)</t>
  </si>
  <si>
    <r>
      <t xml:space="preserve">a  </t>
    </r>
    <r>
      <rPr>
        <sz val="8"/>
        <rFont val="Arial"/>
        <family val="2"/>
      </rPr>
      <t>U.S. owned carriers only. Operation of foreign-owned carriers in or out of the United States not included.</t>
    </r>
  </si>
  <si>
    <r>
      <t>b</t>
    </r>
    <r>
      <rPr>
        <sz val="10"/>
        <rFont val="Arial"/>
        <family val="2"/>
      </rPr>
      <t xml:space="preserve"> </t>
    </r>
    <r>
      <rPr>
        <sz val="8"/>
        <rFont val="Arial"/>
        <family val="2"/>
      </rPr>
      <t xml:space="preserve"> Calculation based on unrounded figures not shown here.</t>
    </r>
  </si>
  <si>
    <r>
      <t>KEY:</t>
    </r>
    <r>
      <rPr>
        <sz val="8"/>
        <rFont val="Arial"/>
        <family val="2"/>
      </rPr>
      <t xml:space="preserve">  Btu = British thermal unit; P = preliminary; R = revised</t>
    </r>
  </si>
  <si>
    <r>
      <t>NOTES:</t>
    </r>
    <r>
      <rPr>
        <sz val="8"/>
        <rFont val="Arial"/>
        <family val="2"/>
      </rPr>
      <t xml:space="preserve">  Aircraft-miles includes all four air-carrier groups (majors, nationals, large regionals, and medium regionals), scheduled and charter, </t>
    </r>
  </si>
  <si>
    <t>passenger, and all-cargo. Fuel consumed includes majors, nationals, and large regionals, scheduled and charter, passenger, and all-cargo.</t>
  </si>
  <si>
    <t>Passenger-miles includes all four air-carrier groups, scheduled and charter, passenger service only.</t>
  </si>
  <si>
    <t>International operations include operations outside the United States, including those between the United States and foreign countries and the United States and its territories or possessions.</t>
  </si>
  <si>
    <t>Heat equivalent factor used for Btu conversion is 135,000 Btu/gallon.</t>
  </si>
  <si>
    <t>Comparative Analysis of per passenger mile data provided in US DOT Tables</t>
  </si>
  <si>
    <t>g CO@ / P-km</t>
  </si>
  <si>
    <t>Btu/ Psgr_Mile</t>
  </si>
  <si>
    <t>Joule/ P_Mile</t>
  </si>
  <si>
    <t>GJ per P_Mile</t>
  </si>
  <si>
    <t>g CO2 /P_Mile</t>
  </si>
  <si>
    <t>lb CO2/P_mile</t>
  </si>
  <si>
    <t>Union Concerned Scientists</t>
  </si>
  <si>
    <t>Aircraft carriers</t>
  </si>
  <si>
    <t>x 1055</t>
  </si>
  <si>
    <t>IPCC, by fuel</t>
  </si>
  <si>
    <t xml:space="preserve"> = I x H</t>
  </si>
  <si>
    <t xml:space="preserve"> = J/1.6093</t>
  </si>
  <si>
    <t xml:space="preserve"> =j/453.6</t>
  </si>
  <si>
    <t>pg 57,265, Consumer's Guide to Effective Environmental Choices</t>
  </si>
  <si>
    <t xml:space="preserve">Domestic </t>
  </si>
  <si>
    <t>long</t>
  </si>
  <si>
    <t>These UCS</t>
  </si>
  <si>
    <t># of riders</t>
  </si>
  <si>
    <t xml:space="preserve">International </t>
  </si>
  <si>
    <t>short</t>
  </si>
  <si>
    <t>impacts include</t>
  </si>
  <si>
    <t>Bus Analysis</t>
  </si>
  <si>
    <t>Ground</t>
  </si>
  <si>
    <t>upstream</t>
  </si>
  <si>
    <t>gallons per mile</t>
  </si>
  <si>
    <t>DOPT 98</t>
  </si>
  <si>
    <t>lifecycle emissions</t>
  </si>
  <si>
    <t>g CO2 per mile</t>
  </si>
  <si>
    <t>per mile per rider</t>
  </si>
  <si>
    <t>UCS</t>
  </si>
  <si>
    <t>per km per rider</t>
  </si>
  <si>
    <t>may havemisplaced a decimal place in footnoot on 265</t>
  </si>
  <si>
    <t>train</t>
  </si>
  <si>
    <t>Long Distance Bus</t>
  </si>
  <si>
    <t>Energy Intensity of Rail Freight, Truck Freight</t>
  </si>
  <si>
    <r>
      <t>Energy Intensity of Class I Railroad</t>
    </r>
    <r>
      <rPr>
        <b/>
        <vertAlign val="superscript"/>
        <sz val="12"/>
        <rFont val="Arial"/>
        <family val="2"/>
      </rPr>
      <t>a</t>
    </r>
    <r>
      <rPr>
        <b/>
        <sz val="12"/>
        <rFont val="Arial"/>
        <family val="2"/>
      </rPr>
      <t xml:space="preserve"> Freight Service</t>
    </r>
  </si>
  <si>
    <t>Revenue freight ton-miles (millions)</t>
  </si>
  <si>
    <t>Car-miles (millions)</t>
  </si>
  <si>
    <t>Tons per car load</t>
  </si>
  <si>
    <t>Energy intensiveness (Btu/revenue freight ton-mile)</t>
  </si>
  <si>
    <t>Energy intensiveness (Btu/car-mile)</t>
  </si>
  <si>
    <r>
      <t>These comparative studies suggest rail is 3 to 4 times more efficient that trucks per ton-mile or tonne-km.</t>
    </r>
    <r>
      <rPr>
        <b/>
        <vertAlign val="superscript"/>
        <sz val="10"/>
        <rFont val="Arial"/>
        <family val="2"/>
      </rPr>
      <t>1</t>
    </r>
  </si>
  <si>
    <r>
      <t xml:space="preserve">a </t>
    </r>
    <r>
      <rPr>
        <sz val="8"/>
        <rFont val="Arial"/>
        <family val="2"/>
      </rPr>
      <t>Class I railroads are those that have operating revenues of $255 million or more.</t>
    </r>
  </si>
  <si>
    <r>
      <t>KEY:</t>
    </r>
    <r>
      <rPr>
        <sz val="8"/>
        <rFont val="Arial"/>
        <family val="2"/>
      </rPr>
      <t xml:space="preserve">  Btu = British thermal unit</t>
    </r>
  </si>
  <si>
    <r>
      <t>NOTE:</t>
    </r>
    <r>
      <rPr>
        <sz val="8"/>
        <rFont val="Arial"/>
        <family val="2"/>
      </rPr>
      <t xml:space="preserve">  The heat equivalent factor used for Btu conversion is 138,700 Btu/gallon.</t>
    </r>
  </si>
  <si>
    <t>Converting to other units</t>
  </si>
  <si>
    <t>Joules per ton mile (@1055/btu)</t>
  </si>
  <si>
    <t>Gigajoules per ton mile (@ 10^9 per)</t>
  </si>
  <si>
    <t>kg CO2 per ton mile (74.067/gj)</t>
  </si>
  <si>
    <t>kg CO2 per tonne-km</t>
  </si>
  <si>
    <t>gallons per ton-mile</t>
  </si>
  <si>
    <t>ton-miles per gallon</t>
  </si>
  <si>
    <t>Kj/tonne-km</t>
  </si>
  <si>
    <t>The following values are drawn from "Comprehensive Truck Size and Weight (TS&amp;W) Study"  Phase 1-Synthesis, Working Paper 12, Feb, 1995, by Batelle Team</t>
  </si>
  <si>
    <t>for Federal Highway Admin and US Dept of Transportation</t>
  </si>
  <si>
    <t>Study summarized</t>
  </si>
  <si>
    <t>Truck</t>
  </si>
  <si>
    <t>Rail</t>
  </si>
  <si>
    <t>Ratio</t>
  </si>
  <si>
    <t>kJ/tonne-km</t>
  </si>
  <si>
    <t>Bronzinei, pg 6</t>
  </si>
  <si>
    <t>Rose, pg 6</t>
  </si>
  <si>
    <t>Transport Canada</t>
  </si>
  <si>
    <t>Kahn</t>
  </si>
  <si>
    <t>?</t>
  </si>
  <si>
    <t>These guidelines and worksheets are intended to help all companies calculate their direct and/or indirect CO2 emissions from mobile sources.</t>
  </si>
  <si>
    <t>Metric tonnes</t>
  </si>
  <si>
    <t>per US DOT table VM1, 1999</t>
  </si>
  <si>
    <t>Metric tonne kilometers</t>
  </si>
  <si>
    <t>passenger land miles</t>
  </si>
  <si>
    <t>short ton land miles</t>
  </si>
  <si>
    <t>Tip:  Do not edit this page.  This page displays totals that come from  the detailed worksheets you can access by clicking on the sheet tabs below.</t>
  </si>
  <si>
    <t>Amtrak, train</t>
  </si>
  <si>
    <t>(distance figures are for one-stop flights, in land miles, not nautical miles- check your source)</t>
  </si>
  <si>
    <t>Typical density</t>
  </si>
  <si>
    <t>Gasoline / petrol</t>
  </si>
  <si>
    <t>Kerosene</t>
  </si>
  <si>
    <t>Jet Fuel</t>
  </si>
  <si>
    <t>70.72 (EIA)</t>
  </si>
  <si>
    <t>Default emission factors are from: IPCC, 1999, Volume 2, Section 1, if not otherwise noted.</t>
  </si>
  <si>
    <t>[Based on Emission Factors provided by DEFRA (Table 9, Environmental Reporting - Guidelines for Company Reporting on GHG Emissions) for short haul and long haul flights]</t>
  </si>
  <si>
    <t>API, 2001(for heating values)</t>
  </si>
  <si>
    <t>Emission factors in blue shaded columns are from IPCC, 1999, Volume 2, Section 1, if not otherwise noted. Heating values in blue shaded columns are from API, 2001, if not otherwise noted. Values in other columns is derived arithmatically except as commented.</t>
  </si>
  <si>
    <t xml:space="preserve"> GJ / liter (API, 2001)</t>
  </si>
  <si>
    <t>kg CO2 / GJ (IPCC, 1999)</t>
  </si>
  <si>
    <t>lb / gal (API, 2001)</t>
  </si>
  <si>
    <t>Aviation gasoline</t>
  </si>
  <si>
    <t>69.11 (EIA)</t>
  </si>
  <si>
    <t>Distillate fuel oil No.1</t>
  </si>
  <si>
    <t>Distillate fuel oil No.2</t>
  </si>
  <si>
    <t>Lubricants</t>
  </si>
  <si>
    <t>Anthracite</t>
  </si>
  <si>
    <t>Bituminous coal</t>
  </si>
  <si>
    <t>(mpg) (calendar year)</t>
  </si>
  <si>
    <t>Average U.S. passenger car fuel efficiency,</t>
  </si>
  <si>
    <t>Average Fuel Efficiency of U.S. Passenger Cars and Light Trucks</t>
  </si>
  <si>
    <r>
      <t>CAFE standards (mpg)</t>
    </r>
    <r>
      <rPr>
        <b/>
        <vertAlign val="superscript"/>
        <sz val="10"/>
        <rFont val="Arial"/>
        <family val="2"/>
      </rPr>
      <t>a</t>
    </r>
    <r>
      <rPr>
        <b/>
        <sz val="10"/>
        <rFont val="Arial"/>
        <family val="2"/>
      </rPr>
      <t xml:space="preserve"> (model year)</t>
    </r>
  </si>
  <si>
    <r>
      <t>R</t>
    </r>
    <r>
      <rPr>
        <sz val="10"/>
        <rFont val="Arial"/>
        <family val="0"/>
      </rPr>
      <t>23.3</t>
    </r>
  </si>
  <si>
    <r>
      <t>R</t>
    </r>
    <r>
      <rPr>
        <sz val="10"/>
        <rFont val="Arial"/>
        <family val="0"/>
      </rPr>
      <t>27.8</t>
    </r>
  </si>
  <si>
    <r>
      <t>R</t>
    </r>
    <r>
      <rPr>
        <sz val="10"/>
        <rFont val="Arial"/>
        <family val="0"/>
      </rPr>
      <t>30.1</t>
    </r>
  </si>
  <si>
    <r>
      <t>R</t>
    </r>
    <r>
      <rPr>
        <sz val="10"/>
        <rFont val="Arial"/>
        <family val="0"/>
      </rPr>
      <t>20.1</t>
    </r>
  </si>
  <si>
    <r>
      <t>R</t>
    </r>
    <r>
      <rPr>
        <sz val="10"/>
        <rFont val="Arial"/>
        <family val="0"/>
      </rPr>
      <t>21.6</t>
    </r>
  </si>
  <si>
    <r>
      <t>Home Page:  Mobile Combustion CO</t>
    </r>
    <r>
      <rPr>
        <b/>
        <vertAlign val="subscript"/>
        <sz val="14"/>
        <color indexed="11"/>
        <rFont val="Arial"/>
        <family val="2"/>
      </rPr>
      <t>2</t>
    </r>
    <r>
      <rPr>
        <b/>
        <sz val="14"/>
        <color indexed="11"/>
        <rFont val="Arial"/>
        <family val="2"/>
      </rPr>
      <t xml:space="preserve"> Emissions Calculation Tool. January 2005. Version 1.3</t>
    </r>
  </si>
  <si>
    <r>
      <t>a</t>
    </r>
    <r>
      <rPr>
        <sz val="10"/>
        <rFont val="Arial"/>
        <family val="0"/>
      </rPr>
      <t>  Assumes 55% city and 45% highway-miles.  The source calculated average miles per gallon for light-duty vehicles by</t>
    </r>
  </si>
  <si>
    <r>
      <t>KEY:</t>
    </r>
    <r>
      <rPr>
        <sz val="10"/>
        <rFont val="Arial"/>
        <family val="0"/>
      </rPr>
      <t xml:space="preserve"> CAFE = Corporate Average Fuel Economy; GVWR = gross vehicle weight rating; mpg = miles per gallon; R = revised; U = data are unavailable</t>
    </r>
  </si>
  <si>
    <r>
      <t xml:space="preserve">NOTE: </t>
    </r>
    <r>
      <rPr>
        <sz val="10"/>
        <rFont val="Arial"/>
        <family val="0"/>
      </rPr>
      <t xml:space="preserve"> The fuel efficiency figures for light duty vehicles represent the sales-weighted harmonic average of the combined passenger car and light truck fuel economies.</t>
    </r>
  </si>
  <si>
    <t>SOURCES:</t>
  </si>
  <si>
    <t>Average U.S. passenger car fuel efficiency:</t>
  </si>
  <si>
    <t xml:space="preserve">1980-94: U.S. Department of Transportation, Federal Highway Administration, Highway Statistics Summary to 1995, FHWA-PL-97-009 (Washington, DC: July 1997), table VM-201A. </t>
  </si>
  <si>
    <t>1995-98: Ibid., Highway Statistics (Washington, DC: Annual issues), table VM-1.</t>
  </si>
  <si>
    <t>New vehicle fuel efficiency (based on model year production):</t>
  </si>
  <si>
    <t xml:space="preserve">1980-90: U.S. Environmental Protection Agency, final fuel economy calculations for the U.S. Department of Transportation, National Highway Traffic Safety Administration, </t>
  </si>
  <si>
    <t>as cited in Internet site www.nhtsa.dot.gov/cars/problems/fuelecon/index.html.</t>
  </si>
  <si>
    <t xml:space="preserve">1991-99: Manufacturer's preliminary estimates for the U.S. Department of Transportation, as cited in National Highway Traffic Safety Administration, Automotive Fuel Economy Program, </t>
  </si>
  <si>
    <t>Twenty-Fourth Annual Report to Congress, Calendar Year 1999, Internet site www.nhtsa.dot.gov/cars/problems/fuelecon/index.html.</t>
  </si>
  <si>
    <t>CAFE standards:</t>
  </si>
  <si>
    <t xml:space="preserve">1980-99: U.S. Department of Transportation, National Highway Traffic Safety Administration, Automotive Fuel Economy Program, Twenty-Fourth Annual Report to Congress, Calendar Year 1999, </t>
  </si>
  <si>
    <t>Internet site www.nhtsa.dot.gov/cars/problems/fuelecon/index.html.</t>
  </si>
  <si>
    <t>http://www.bts.gov/btsprod/nts/Ch4_web/4-23.htm</t>
  </si>
  <si>
    <t>Certificated air carrier</t>
  </si>
  <si>
    <t xml:space="preserve">  Domestic operations</t>
  </si>
  <si>
    <t xml:space="preserve">  International operat.</t>
  </si>
  <si>
    <r>
      <t>Air</t>
    </r>
    <r>
      <rPr>
        <b/>
        <vertAlign val="superscript"/>
        <sz val="10"/>
        <rFont val="Arial"/>
        <family val="2"/>
      </rPr>
      <t>R</t>
    </r>
  </si>
  <si>
    <r>
      <t>Highway</t>
    </r>
    <r>
      <rPr>
        <b/>
        <vertAlign val="superscript"/>
        <sz val="10"/>
        <rFont val="Arial"/>
        <family val="2"/>
      </rPr>
      <t>B</t>
    </r>
  </si>
  <si>
    <t>N</t>
  </si>
  <si>
    <t>a</t>
  </si>
  <si>
    <t>a  Included in passenger car.</t>
  </si>
  <si>
    <t>b  For 1995 and subsequent years, highway passenger-miles were taken directly from Highway Statistics rather than derived from vehicle-miles and average occupancy, as is the case for 1960-1994.</t>
  </si>
  <si>
    <t xml:space="preserve"> for passenger car, other 2-axle 4-tire vehicle, and motorcycle, and 138,700 Btu/gallon for transit motor bus and Amtrak.</t>
  </si>
  <si>
    <t xml:space="preserve"> Air:</t>
  </si>
  <si>
    <t xml:space="preserve"> Certificated air carriers:</t>
  </si>
  <si>
    <t xml:space="preserve"> Passenger-miles:</t>
  </si>
  <si>
    <t xml:space="preserve"> 1960-99: Air Transport Association, Internet site http://www.air-transport.org/public/industry, as of July 5, 2000.</t>
  </si>
  <si>
    <t xml:space="preserve"> Fuel consumed:</t>
  </si>
  <si>
    <t xml:space="preserve"> 1960-99: U.S. Department of Transportation, Bureau of Transportation Statistics, Office of Airline Information, Internet site http://www.bts.gov/oai/fuel/fuelyearly.html, as of July 5, 2000.</t>
  </si>
  <si>
    <t xml:space="preserve"> Highway</t>
  </si>
  <si>
    <t xml:space="preserve"> Passenger car:</t>
  </si>
  <si>
    <t xml:space="preserve">Pankaj Bhatia/WRI, Michael Gillenwater/US-EPA, Vincent Camobreco/US-EPA, Matthew Addison/Nexant Inc, and project team members </t>
  </si>
  <si>
    <t>from WRI/WBCSD. All intellectual property rights belong to GHG Protocol Initiative. Please cite the original reference whenever using this tool.</t>
  </si>
  <si>
    <t xml:space="preserve">For comments on workbook content, contact Pankaj Bhatia at pankaj@wri.org. </t>
  </si>
  <si>
    <t>While the workbook is largely self explanatory, for questions or suggestions on workbook mechanics, contact DCross@retec.com.</t>
  </si>
  <si>
    <t xml:space="preserve"> 1960-94: U.S. Department of Transportation, Federal Highway Administration, Highway Statistics Summary to 1995, FHWA-PL-97-009 (Washington, DC: July 1997), table VM-201A. </t>
  </si>
  <si>
    <t xml:space="preserve"> 1995-98: Ibid. Highway Statistics (Washington, DC:  Annual issues), table VM-1.</t>
  </si>
  <si>
    <t xml:space="preserve"> Other 2-axle 4-tire vehicle:</t>
  </si>
  <si>
    <t xml:space="preserve"> 1970-94: Ibid., Highway Statistics Summary to 1995, FHWA-PL-97-009 (Washington, DC: July 1997), table VM-201A.</t>
  </si>
  <si>
    <t xml:space="preserve"> 1995-98: Ibid., Highway Statistics (Washington, DC: Annual issues), table VM-1.</t>
  </si>
  <si>
    <t xml:space="preserve"> Motorcycle:</t>
  </si>
  <si>
    <t xml:space="preserve"> 1970-85: Ibid., Highway Statistics Summary to 1985, FHWA-PL-97-009 (Washington, DC:  July 1997), table VM-201A.</t>
  </si>
  <si>
    <t xml:space="preserve"> 1990-98: Ibid., Highway Statistics (Washington, DC:  Annual issues), table VM-1.</t>
  </si>
  <si>
    <t xml:space="preserve"> Transit motor bus:</t>
  </si>
  <si>
    <t xml:space="preserve"> 1980-98: American Public Transportation Association, Public Transportation Fact Book (Washington, DC: March 2000), tables 30, 42; and 65.</t>
  </si>
  <si>
    <t xml:space="preserve"> Amtrak:</t>
  </si>
  <si>
    <t xml:space="preserve"> 1975-98: Amtrak, State and Local Affairs Department, personal communications.</t>
  </si>
  <si>
    <r>
      <t xml:space="preserve"> NOTES</t>
    </r>
    <r>
      <rPr>
        <sz val="10"/>
        <rFont val="Arial"/>
        <family val="2"/>
      </rPr>
      <t xml:space="preserve">: To calculate total Btu, multiply fuel consumed (see tables 4-21, 4-22, 4-24, 4-25) by 135,000 Btu/gallon for air carrier, 125,000 Btu/gallon </t>
    </r>
  </si>
  <si>
    <r>
      <t>KEY:</t>
    </r>
    <r>
      <rPr>
        <sz val="10"/>
        <rFont val="Arial"/>
        <family val="2"/>
      </rPr>
      <t xml:space="preserve"> Btu = British thermal unit; N = data do not exist; P = preliminary; R = revised.</t>
    </r>
  </si>
  <si>
    <t>http://www.bts.gov/btsprod/nts/Ch4_web/4-20.htm</t>
  </si>
  <si>
    <r>
      <t>R</t>
    </r>
    <r>
      <rPr>
        <sz val="10"/>
        <rFont val="Arial"/>
        <family val="2"/>
      </rPr>
      <t>58.5</t>
    </r>
  </si>
  <si>
    <r>
      <t>R</t>
    </r>
    <r>
      <rPr>
        <sz val="10"/>
        <rFont val="Arial"/>
        <family val="2"/>
      </rPr>
      <t>62.2</t>
    </r>
  </si>
  <si>
    <r>
      <t>R</t>
    </r>
    <r>
      <rPr>
        <sz val="10"/>
        <rFont val="Arial"/>
        <family val="2"/>
      </rPr>
      <t>54.7</t>
    </r>
  </si>
  <si>
    <r>
      <t>R</t>
    </r>
    <r>
      <rPr>
        <sz val="10"/>
        <rFont val="Arial"/>
        <family val="2"/>
      </rPr>
      <t>56.8</t>
    </r>
  </si>
  <si>
    <r>
      <t>R</t>
    </r>
    <r>
      <rPr>
        <sz val="10"/>
        <rFont val="Arial"/>
        <family val="2"/>
      </rPr>
      <t>48.9</t>
    </r>
  </si>
  <si>
    <r>
      <t>R</t>
    </r>
    <r>
      <rPr>
        <sz val="10"/>
        <rFont val="Arial"/>
        <family val="2"/>
      </rPr>
      <t>53</t>
    </r>
  </si>
  <si>
    <r>
      <t>R</t>
    </r>
    <r>
      <rPr>
        <sz val="10"/>
        <rFont val="Arial"/>
        <family val="2"/>
      </rPr>
      <t>58</t>
    </r>
  </si>
  <si>
    <r>
      <t>R</t>
    </r>
    <r>
      <rPr>
        <sz val="10"/>
        <rFont val="Arial"/>
        <family val="2"/>
      </rPr>
      <t>62.8</t>
    </r>
  </si>
  <si>
    <r>
      <t>R</t>
    </r>
    <r>
      <rPr>
        <sz val="10"/>
        <rFont val="Arial"/>
        <family val="2"/>
      </rPr>
      <t>64.6</t>
    </r>
  </si>
  <si>
    <r>
      <t>R</t>
    </r>
    <r>
      <rPr>
        <sz val="10"/>
        <rFont val="Arial"/>
        <family val="2"/>
      </rPr>
      <t>60.7</t>
    </r>
  </si>
  <si>
    <r>
      <t>R</t>
    </r>
    <r>
      <rPr>
        <sz val="10"/>
        <rFont val="Arial"/>
        <family val="2"/>
      </rPr>
      <t>2488</t>
    </r>
  </si>
  <si>
    <r>
      <t>R</t>
    </r>
    <r>
      <rPr>
        <sz val="10"/>
        <rFont val="Arial"/>
        <family val="2"/>
      </rPr>
      <t>10115</t>
    </r>
  </si>
  <si>
    <r>
      <t>R</t>
    </r>
    <r>
      <rPr>
        <sz val="10"/>
        <rFont val="Arial"/>
        <family val="2"/>
      </rPr>
      <t>11506</t>
    </r>
  </si>
  <si>
    <r>
      <t>R</t>
    </r>
    <r>
      <rPr>
        <sz val="10"/>
        <rFont val="Arial"/>
        <family val="2"/>
      </rPr>
      <t>3940</t>
    </r>
  </si>
  <si>
    <r>
      <t>R</t>
    </r>
    <r>
      <rPr>
        <sz val="10"/>
        <rFont val="Arial"/>
        <family val="2"/>
      </rPr>
      <t>61.2</t>
    </r>
  </si>
  <si>
    <r>
      <t>R</t>
    </r>
    <r>
      <rPr>
        <sz val="10"/>
        <rFont val="Arial"/>
        <family val="2"/>
      </rPr>
      <t>67.3</t>
    </r>
  </si>
  <si>
    <t xml:space="preserve">                                                                                                                           </t>
  </si>
  <si>
    <t>short haul (&lt;452 km)</t>
  </si>
  <si>
    <t>&lt;281 miles</t>
  </si>
  <si>
    <t>medium haul (452 to 1600 km)</t>
  </si>
  <si>
    <t>281 to 994 miles</t>
  </si>
  <si>
    <t>long haul (&gt;1600 km)</t>
  </si>
  <si>
    <t xml:space="preserve">                                                                                                                                    </t>
  </si>
  <si>
    <r>
      <t>R</t>
    </r>
    <r>
      <rPr>
        <sz val="10"/>
        <rFont val="Arial"/>
        <family val="0"/>
      </rPr>
      <t>11,763</t>
    </r>
  </si>
  <si>
    <r>
      <t>R</t>
    </r>
    <r>
      <rPr>
        <sz val="10"/>
        <rFont val="Arial"/>
        <family val="2"/>
      </rPr>
      <t>11959</t>
    </r>
  </si>
  <si>
    <r>
      <t>R</t>
    </r>
    <r>
      <rPr>
        <sz val="10"/>
        <rFont val="Arial"/>
        <family val="2"/>
      </rPr>
      <t>12476</t>
    </r>
  </si>
  <si>
    <r>
      <t>R</t>
    </r>
    <r>
      <rPr>
        <sz val="10"/>
        <rFont val="Arial"/>
        <family val="2"/>
      </rPr>
      <t>13187</t>
    </r>
  </si>
  <si>
    <r>
      <t>R</t>
    </r>
    <r>
      <rPr>
        <sz val="10"/>
        <rFont val="Arial"/>
        <family val="0"/>
      </rPr>
      <t>4,120</t>
    </r>
  </si>
  <si>
    <r>
      <t>R</t>
    </r>
    <r>
      <rPr>
        <sz val="10"/>
        <rFont val="Arial"/>
        <family val="2"/>
      </rPr>
      <t>4113</t>
    </r>
  </si>
  <si>
    <r>
      <t>R</t>
    </r>
    <r>
      <rPr>
        <sz val="10"/>
        <rFont val="Arial"/>
        <family val="2"/>
      </rPr>
      <t>4311</t>
    </r>
  </si>
  <si>
    <r>
      <t>R</t>
    </r>
    <r>
      <rPr>
        <sz val="10"/>
        <rFont val="Arial"/>
        <family val="2"/>
      </rPr>
      <t>4511</t>
    </r>
  </si>
  <si>
    <r>
      <t>R</t>
    </r>
    <r>
      <rPr>
        <sz val="10"/>
        <rFont val="Arial"/>
        <family val="2"/>
      </rPr>
      <t>4658</t>
    </r>
  </si>
  <si>
    <t xml:space="preserve">                                                                                                                                                                </t>
  </si>
  <si>
    <t xml:space="preserve">                                                                                                                                                                          </t>
  </si>
  <si>
    <t xml:space="preserve">                                                                                                                                                                                   </t>
  </si>
  <si>
    <r>
      <t>R</t>
    </r>
    <r>
      <rPr>
        <sz val="10"/>
        <rFont val="Arial"/>
        <family val="2"/>
      </rPr>
      <t>62.4</t>
    </r>
  </si>
  <si>
    <r>
      <t>R</t>
    </r>
    <r>
      <rPr>
        <sz val="10"/>
        <rFont val="Arial"/>
        <family val="2"/>
      </rPr>
      <t>62</t>
    </r>
  </si>
  <si>
    <r>
      <t>R</t>
    </r>
    <r>
      <rPr>
        <sz val="10"/>
        <rFont val="Arial"/>
        <family val="2"/>
      </rPr>
      <t>64.7</t>
    </r>
  </si>
  <si>
    <r>
      <t>R</t>
    </r>
    <r>
      <rPr>
        <sz val="10"/>
        <rFont val="Arial"/>
        <family val="2"/>
      </rPr>
      <t>65.4</t>
    </r>
  </si>
  <si>
    <r>
      <t>R</t>
    </r>
    <r>
      <rPr>
        <sz val="10"/>
        <rFont val="Arial"/>
        <family val="2"/>
      </rPr>
      <t>67.9</t>
    </r>
  </si>
  <si>
    <r>
      <t>R</t>
    </r>
    <r>
      <rPr>
        <sz val="10"/>
        <rFont val="Arial"/>
        <family val="2"/>
      </rPr>
      <t>67.1</t>
    </r>
  </si>
  <si>
    <r>
      <t>R</t>
    </r>
    <r>
      <rPr>
        <sz val="10"/>
        <rFont val="Arial"/>
        <family val="2"/>
      </rPr>
      <t>67.6</t>
    </r>
  </si>
  <si>
    <r>
      <t>R</t>
    </r>
    <r>
      <rPr>
        <sz val="10"/>
        <rFont val="Arial"/>
        <family val="2"/>
      </rPr>
      <t>70.6</t>
    </r>
  </si>
  <si>
    <r>
      <t>R</t>
    </r>
    <r>
      <rPr>
        <sz val="10"/>
        <rFont val="Arial"/>
        <family val="2"/>
      </rPr>
      <t>71.8</t>
    </r>
  </si>
  <si>
    <r>
      <t>R</t>
    </r>
    <r>
      <rPr>
        <sz val="10"/>
        <rFont val="Arial"/>
        <family val="2"/>
      </rPr>
      <t>73.3</t>
    </r>
  </si>
  <si>
    <r>
      <t>R</t>
    </r>
    <r>
      <rPr>
        <sz val="10"/>
        <rFont val="Arial"/>
        <family val="2"/>
      </rPr>
      <t>72.8</t>
    </r>
  </si>
  <si>
    <t>Aircraft-miles, available seat-miles, passenger-miles, and load factor:</t>
  </si>
  <si>
    <t>1960-80: Air Transport Association, Internet site http://www.air-transport.org/public/industry, as of July 5, 2000.</t>
  </si>
  <si>
    <t>Seats per aircraft, seat-miles per gallon, and energy intensiveness:  Derived by calculation.</t>
  </si>
  <si>
    <t>1985-98: U.S. Department of Transportation, Bureau of Transportation Statistics, Office of Airline Information, Air Carrier Traffic Statistics (Washington DC: Annual December issues).</t>
  </si>
  <si>
    <t>inter-city:  48.5 g CO2 per passenger km</t>
  </si>
  <si>
    <t>urban:  186.2 g CO2 per passenger km</t>
  </si>
  <si>
    <t>1960-99: U.S. Department of Transportation, Bureau of Transportation Statistics, Office of Airline Information, Internet site http://www.bts.gov/oai/fuel/fuelyearly.html, as of July 5, 2000.</t>
  </si>
  <si>
    <t>http://www.bts.gov/btsprod/nts/Ch4_web/4-21.htm</t>
  </si>
  <si>
    <t>http://www.bts.gov/btsprod/nts/Ch4_web/4-25.htm</t>
  </si>
  <si>
    <r>
      <t>SOURCE:</t>
    </r>
    <r>
      <rPr>
        <sz val="8"/>
        <rFont val="Arial"/>
        <family val="2"/>
      </rPr>
      <t xml:space="preserve">  Association of American Railroads, </t>
    </r>
    <r>
      <rPr>
        <i/>
        <sz val="8"/>
        <rFont val="Arial"/>
        <family val="2"/>
      </rPr>
      <t xml:space="preserve">Railroad Facts </t>
    </r>
    <r>
      <rPr>
        <sz val="8"/>
        <rFont val="Arial"/>
        <family val="2"/>
      </rPr>
      <t>(Washington, DC: November 2000), pp. 34, 37, and 40.</t>
    </r>
  </si>
  <si>
    <t>Values for Coal GJ/tonne vary widely depending upon how much nonflamable and sulfer material is in the coal.</t>
  </si>
  <si>
    <t>Coal, GJ per tonne by country</t>
  </si>
  <si>
    <r>
      <t xml:space="preserve">*This </t>
    </r>
    <r>
      <rPr>
        <b/>
        <sz val="8"/>
        <rFont val="Arial"/>
        <family val="2"/>
      </rPr>
      <t>COAL</t>
    </r>
    <r>
      <rPr>
        <sz val="8"/>
        <rFont val="Arial"/>
        <family val="0"/>
      </rPr>
      <t xml:space="preserve"> value varies considerably by type of coal and country, from a low 16.4 GJ per tonne for China to a high of 27.6 of iceland.  See UNEP Guidelines, June 2000 pg 43</t>
    </r>
  </si>
  <si>
    <r>
      <t>Two calculation approaches are provided in these worksheets.  The first calculates emissions based on  amount of</t>
    </r>
    <r>
      <rPr>
        <b/>
        <sz val="10"/>
        <rFont val="Arial"/>
        <family val="2"/>
      </rPr>
      <t xml:space="preserve"> fuel consumed</t>
    </r>
    <r>
      <rPr>
        <sz val="10"/>
        <rFont val="Arial"/>
        <family val="2"/>
      </rPr>
      <t xml:space="preserve">. </t>
    </r>
  </si>
  <si>
    <t>Optional Calculator</t>
  </si>
  <si>
    <t xml:space="preserve"> = Distance traveled</t>
  </si>
  <si>
    <t xml:space="preserve"> = miles per gallon</t>
  </si>
  <si>
    <t xml:space="preserve">        OR</t>
  </si>
  <si>
    <t xml:space="preserve">Note:  Use this worksheet to calculate your emissions from amount of fuel consumed. </t>
  </si>
  <si>
    <t>miles per gallon</t>
  </si>
  <si>
    <t xml:space="preserve">kg CO2 </t>
  </si>
  <si>
    <t>liters /100 km</t>
  </si>
  <si>
    <t>Vehicle fuel efficiency</t>
  </si>
  <si>
    <t>kg CO2 per mile</t>
  </si>
  <si>
    <t>kg CO2 pr km</t>
  </si>
  <si>
    <t>kg CO2/ liter gas</t>
  </si>
  <si>
    <t>Ships</t>
  </si>
  <si>
    <r>
      <t>Summary of CO</t>
    </r>
    <r>
      <rPr>
        <b/>
        <vertAlign val="subscript"/>
        <sz val="18"/>
        <color indexed="8"/>
        <rFont val="Arial"/>
        <family val="2"/>
      </rPr>
      <t>2</t>
    </r>
    <r>
      <rPr>
        <b/>
        <sz val="18"/>
        <color indexed="8"/>
        <rFont val="Arial"/>
        <family val="2"/>
      </rPr>
      <t xml:space="preserve"> Emissions </t>
    </r>
    <r>
      <rPr>
        <b/>
        <sz val="12"/>
        <color indexed="8"/>
        <rFont val="Arial"/>
        <family val="2"/>
      </rPr>
      <t>(in metric tonnes CO</t>
    </r>
    <r>
      <rPr>
        <b/>
        <vertAlign val="subscript"/>
        <sz val="12"/>
        <color indexed="8"/>
        <rFont val="Arial"/>
        <family val="2"/>
      </rPr>
      <t>2</t>
    </r>
    <r>
      <rPr>
        <b/>
        <sz val="12"/>
        <color indexed="8"/>
        <rFont val="Arial"/>
        <family val="2"/>
      </rPr>
      <t>)</t>
    </r>
  </si>
  <si>
    <t>Water transportation</t>
  </si>
  <si>
    <t>kg CO2/ liter diesel</t>
  </si>
  <si>
    <t>your vehicle</t>
  </si>
  <si>
    <t>See calculator above to obtain kg per mile</t>
  </si>
  <si>
    <t>from fuel efficiency</t>
  </si>
  <si>
    <t>See calculator above to obtain kg per km</t>
  </si>
  <si>
    <t>The combustion of hydrocarbon fuels produces carbon dioxide (CO2), water vapor, trace amounts of methane (CH4), nitrous oxide</t>
  </si>
  <si>
    <t>(DEFRA &amp; US - DOT)</t>
  </si>
  <si>
    <t>10 kg CO2/gallon (DEFRA says 9.99, a lower estimate than some others)</t>
  </si>
  <si>
    <t>Table 1</t>
  </si>
  <si>
    <t>Table 2</t>
  </si>
  <si>
    <t>Table 3</t>
  </si>
  <si>
    <t>To convert liters per 100 km to miles per gallon, invert (liters per 100 km/3.785/100*1.6093)  [gallons per liter * km per mile]</t>
  </si>
  <si>
    <t>Table 4</t>
  </si>
  <si>
    <t>Table 5</t>
  </si>
  <si>
    <t>Table 7</t>
  </si>
  <si>
    <t>Table 8</t>
  </si>
  <si>
    <t>Table 9</t>
  </si>
  <si>
    <t>Table 10</t>
  </si>
  <si>
    <t>Table 11</t>
  </si>
  <si>
    <t>Table 12</t>
  </si>
  <si>
    <t>Below, Transportation Energy DATA book edition 20 - 2000, Table 8.1, miles per gallon for trucks</t>
  </si>
  <si>
    <t>Table 13</t>
  </si>
  <si>
    <t>Table 14</t>
  </si>
  <si>
    <t>Table 15</t>
  </si>
  <si>
    <t>(N2O) and ash or soot (from incomplete combustion).  This workbook makes a simplifying assumption that the combustion of carbon</t>
  </si>
  <si>
    <t xml:space="preserve">overestimate of CO2 emissions from combustion.  This overestimate is offset by a second assumption that by itself would result in a </t>
  </si>
  <si>
    <t xml:space="preserve">roughly 1% underestimate of global warming impact.  The second assumption is that the emissions of CH4 and N20 from mobile combustion </t>
  </si>
  <si>
    <t xml:space="preserve">gram of CO2.  Even so, the amounts emitted during combustion are so small, and the factors for these emissions are so uncertain, that there </t>
  </si>
  <si>
    <t xml:space="preserve">is little benefit in calculating their global warming impact.  (Processes other than combustion do produce significant amounts of CH4 and N20, </t>
  </si>
  <si>
    <t xml:space="preserve">and these have non-trivial global warming impacts.)  The combined effect of these assumptions is likely to alter results by less than 0.5%, </t>
  </si>
  <si>
    <t>a variance that will in most cases be negligible.</t>
  </si>
  <si>
    <t xml:space="preserve">is 100% complete, whereby all the carbon in fuel is converted to CO2.  By itself, this assumption results in an approximately 1% </t>
  </si>
  <si>
    <r>
      <t xml:space="preserve">The second calculates emissions based on </t>
    </r>
    <r>
      <rPr>
        <b/>
        <sz val="10"/>
        <rFont val="Arial"/>
        <family val="2"/>
      </rPr>
      <t>distance traveled</t>
    </r>
    <r>
      <rPr>
        <sz val="10"/>
        <rFont val="Arial"/>
        <family val="0"/>
      </rPr>
      <t xml:space="preserve"> or equipment activity, i.e. truck kilometers traveled.  Companies should use the</t>
    </r>
  </si>
  <si>
    <t xml:space="preserve">If fuel use data and distance data are of equal quality, the fuel use data should be used (fuel composition varies less than vehicle efficiency).  </t>
  </si>
  <si>
    <t>Version 1.0 October 2001</t>
  </si>
  <si>
    <t>Fixed Macros leading from introduction to calculation pages.</t>
  </si>
  <si>
    <t>Version 1.3 January 2005</t>
  </si>
  <si>
    <t xml:space="preserve">Updated Table 5.4 in the guidance to correct the "Litres fuel per km" values. </t>
  </si>
  <si>
    <t>If mobile sources are a significant source of direct emissions for your organization, and your fuel records are not accurate, it is</t>
  </si>
  <si>
    <t>Review the Summary on the "Home" page.  Totals there should automatically reflect totals computed on each worksheet.</t>
  </si>
  <si>
    <t>Labels:</t>
  </si>
  <si>
    <t>To:</t>
  </si>
  <si>
    <t>Cubic Foot</t>
  </si>
  <si>
    <t>Litre</t>
  </si>
  <si>
    <t>Cubic Meter</t>
  </si>
  <si>
    <t>Cubic foot</t>
  </si>
  <si>
    <t>Cubic meter</t>
  </si>
  <si>
    <t xml:space="preserve">Miles per </t>
  </si>
  <si>
    <t>Kg CO2</t>
  </si>
  <si>
    <t>G CO2</t>
  </si>
  <si>
    <t>Km per</t>
  </si>
  <si>
    <t>Liters per</t>
  </si>
  <si>
    <t xml:space="preserve">   taking the reciprocal of the sales-weighted average of gallons per mile.  This is called the harmonic average.</t>
  </si>
  <si>
    <t>Trucks with 6+ tires</t>
  </si>
  <si>
    <t>Combination trucks</t>
  </si>
  <si>
    <t>Gallons per ton-mile</t>
  </si>
  <si>
    <t>Ton-miles per gallon</t>
  </si>
  <si>
    <t>Kg CO2 per ton mile (74.067/gj)</t>
  </si>
  <si>
    <t>Kg CO2 per tonne-km</t>
  </si>
  <si>
    <t>For year</t>
  </si>
  <si>
    <t>Container truck</t>
  </si>
  <si>
    <t>Range:</t>
  </si>
  <si>
    <t>Compare at:</t>
  </si>
  <si>
    <t xml:space="preserve">If distance data and fuel economy factors are known, use the calculator provided on the 'fuel use' worksheet to calculate fuel consumption.  </t>
  </si>
  <si>
    <t>Approaches can be combined, but to avoid double counting do not enter the same activity twice.</t>
  </si>
  <si>
    <t>Introduction to Worksheets for CO2 Emissions from Mobile Sources</t>
  </si>
  <si>
    <r>
      <t>not be accurate for countries with different traffic conditions, vehicle sizes, and average number of passengers per vehicle.</t>
    </r>
    <r>
      <rPr>
        <sz val="10"/>
        <rFont val="Arial"/>
        <family val="2"/>
      </rPr>
      <t xml:space="preserve">  </t>
    </r>
  </si>
  <si>
    <r>
      <t>To add another data entry row</t>
    </r>
    <r>
      <rPr>
        <sz val="10"/>
        <rFont val="Arial"/>
        <family val="0"/>
      </rPr>
      <t>, select the row you want duplicated, and click on the "Add a Row" Button.  A new row with the same</t>
    </r>
  </si>
  <si>
    <t>Butane</t>
  </si>
  <si>
    <t>4.84 (liquid)</t>
  </si>
  <si>
    <t>62.99 (EIA)</t>
  </si>
  <si>
    <t>4.24 (liquid)</t>
  </si>
  <si>
    <t>Natural gas</t>
  </si>
  <si>
    <t>0.039 GJ / standard cubic meter</t>
  </si>
  <si>
    <t>heat value</t>
  </si>
  <si>
    <t>Lower</t>
  </si>
  <si>
    <t>Source:</t>
  </si>
  <si>
    <t>(unless noted)</t>
  </si>
  <si>
    <t>IPCC</t>
  </si>
  <si>
    <t>kgCO2/liter</t>
  </si>
  <si>
    <t>(derived)</t>
  </si>
  <si>
    <t>kgCO2/US gal</t>
  </si>
  <si>
    <t>Residual Fuel oil#4</t>
  </si>
  <si>
    <t>Residual Fuel oil#6</t>
  </si>
  <si>
    <t>Residual Fuel oil#5</t>
  </si>
  <si>
    <t>GJ/ US gallon</t>
  </si>
  <si>
    <t xml:space="preserve">kg CO2/gallon diesel </t>
  </si>
  <si>
    <t>Sub-bituminous coal</t>
  </si>
  <si>
    <t>100.44 (EIA)</t>
  </si>
  <si>
    <t>Wood, wood waste</t>
  </si>
  <si>
    <t>Transportation Fuels Emissions Factors</t>
  </si>
  <si>
    <t>basis of values in worksheet</t>
  </si>
  <si>
    <t>See transport fuels emissions factors above</t>
  </si>
  <si>
    <t>GJ/Imp Gal</t>
  </si>
  <si>
    <t>(UK DETR)</t>
  </si>
  <si>
    <t>passenger land km</t>
  </si>
  <si>
    <t>Density*</t>
  </si>
  <si>
    <t>Rail to Truck</t>
  </si>
  <si>
    <t>Truck to Rail</t>
  </si>
  <si>
    <t>make two copies of the workbook for accounting them separately.</t>
  </si>
  <si>
    <t>Determine your direct and indirect emission sources from mobile combustion. If you have both direct and indirect emissions,</t>
  </si>
  <si>
    <t xml:space="preserve">Review the default values proposed for emissions factors, and enter any different local default emission factors or </t>
  </si>
  <si>
    <t>custom values that best represent your emission sources. Check coal factors since they vary widely by country.</t>
  </si>
  <si>
    <t xml:space="preserve">the row you selected.  Be certain to change user-entered values in the new row. </t>
  </si>
  <si>
    <t>Worksheets are color coded but may be printed in black and white.</t>
  </si>
  <si>
    <t xml:space="preserve">Other default emission factors are from: IPCC. 1997. Revised 1996 IPCC Guidelines </t>
  </si>
  <si>
    <t>Note that the default emissions per distance factors were developed in the United States and/or Europe, and may</t>
  </si>
  <si>
    <t>To print in black and white (without shadings) check the appropriate box in the Sheet tab of the Page Setup command in the File Menu.</t>
  </si>
  <si>
    <t>Road transportation</t>
  </si>
  <si>
    <t xml:space="preserve">Rail transportation </t>
  </si>
  <si>
    <t xml:space="preserve">Boat transportation </t>
  </si>
  <si>
    <t xml:space="preserve">Aircraft </t>
  </si>
  <si>
    <t>hybrid auto 56 mpg</t>
  </si>
  <si>
    <t>diesel light truck 15 mpg</t>
  </si>
  <si>
    <t>diesel heavy truck 7 mpg</t>
  </si>
  <si>
    <t>hybrid auto        56 mpg</t>
  </si>
  <si>
    <t>Emissions factors for rail travel</t>
  </si>
  <si>
    <t>Type of Train</t>
  </si>
  <si>
    <r>
      <t>kg CO</t>
    </r>
    <r>
      <rPr>
        <b/>
        <vertAlign val="subscript"/>
        <sz val="10"/>
        <rFont val="Arial"/>
        <family val="2"/>
      </rPr>
      <t>2</t>
    </r>
    <r>
      <rPr>
        <b/>
        <sz val="10"/>
        <rFont val="Arial"/>
        <family val="2"/>
      </rPr>
      <t xml:space="preserve"> per passenger km</t>
    </r>
  </si>
  <si>
    <r>
      <t>kg CO</t>
    </r>
    <r>
      <rPr>
        <b/>
        <vertAlign val="subscript"/>
        <sz val="10"/>
        <rFont val="Arial"/>
        <family val="2"/>
      </rPr>
      <t>2</t>
    </r>
    <r>
      <rPr>
        <b/>
        <sz val="10"/>
        <rFont val="Arial"/>
        <family val="2"/>
      </rPr>
      <t xml:space="preserve"> per passenger mile</t>
    </r>
  </si>
  <si>
    <r>
      <t>UK Rail</t>
    </r>
    <r>
      <rPr>
        <vertAlign val="superscript"/>
        <sz val="10"/>
        <rFont val="Arial"/>
        <family val="2"/>
      </rPr>
      <t>1</t>
    </r>
  </si>
  <si>
    <r>
      <t>US Intercity Rail</t>
    </r>
    <r>
      <rPr>
        <vertAlign val="superscript"/>
        <sz val="10"/>
        <rFont val="Arial"/>
        <family val="2"/>
      </rPr>
      <t xml:space="preserve">2 </t>
    </r>
    <r>
      <rPr>
        <sz val="10"/>
        <rFont val="Arial"/>
        <family val="2"/>
      </rPr>
      <t>(i.e., Amtrak)</t>
    </r>
  </si>
  <si>
    <r>
      <t>US Transit Rail</t>
    </r>
    <r>
      <rPr>
        <vertAlign val="superscript"/>
        <sz val="10"/>
        <rFont val="Arial"/>
        <family val="2"/>
      </rPr>
      <t xml:space="preserve">3 </t>
    </r>
    <r>
      <rPr>
        <sz val="10"/>
        <rFont val="Arial"/>
        <family val="2"/>
      </rPr>
      <t>(e.g., subway, tram)</t>
    </r>
  </si>
  <si>
    <r>
      <t>US Commuter Rail</t>
    </r>
    <r>
      <rPr>
        <vertAlign val="superscript"/>
        <sz val="10"/>
        <rFont val="Arial"/>
        <family val="2"/>
      </rPr>
      <t>4</t>
    </r>
  </si>
  <si>
    <r>
      <t>Canadian Rail</t>
    </r>
    <r>
      <rPr>
        <vertAlign val="superscript"/>
        <sz val="10"/>
        <rFont val="Arial"/>
        <family val="2"/>
      </rPr>
      <t>5</t>
    </r>
  </si>
  <si>
    <r>
      <t>1.</t>
    </r>
    <r>
      <rPr>
        <sz val="10"/>
        <rFont val="Times New Roman"/>
        <family val="1"/>
      </rPr>
      <t> </t>
    </r>
    <r>
      <rPr>
        <sz val="10"/>
        <rFont val="Arial"/>
        <family val="2"/>
      </rPr>
      <t>Source: Railtrack http://www.railtrack.co.uk/our_business/environment/benefits_of_rail/index.cfm gives annual passenger-miles and tonnes of CO2.</t>
    </r>
  </si>
  <si>
    <t>5. Source: Canada’s Climate Change Voluntary Challenge and Registry Inc. (VCR Inc.), 2002. An Action Plan for Reducing Greenhouse Gas Emissions. P 12. www.vcr-mvr.ca. Please note units are in CO2-eq.</t>
  </si>
  <si>
    <t>To convert from lbs to kg, multiply by</t>
  </si>
  <si>
    <t>1 km equals</t>
  </si>
  <si>
    <t>miles</t>
  </si>
  <si>
    <t>1 mile equals</t>
  </si>
  <si>
    <t>km</t>
  </si>
  <si>
    <t>US Intercity Rail (e.g. Amtrak)</t>
  </si>
  <si>
    <t>US Transit Rail (e.g subway, tram)</t>
  </si>
  <si>
    <t>2.  Sources: TEDB = Transportation Energy Data Book: Edition 22, 2002. Table 2.11 and A16. http://www-cta.ornl.gov/data/
EIA = Energy Information Administration, Emissions of Greenhouse Gases in the United States 2000, Appendix B, Table B1</t>
  </si>
  <si>
    <t>3.Sources:  TEDB = Transportation Energy Data Book, Edition 22- 2002, Table 2.11 and Table A.15. Available at http://www-cta.ornl.gov/data.
EIA = ftp://ftp.eia.doe.gov/pub/oiaf/1605/cdrom/pdf/e-supdoc.pdf, page 5.
Note: transit rail is defined as light and heavy rail. For definitions, please see  http://www.apta.com/info/define/mode.htm</t>
  </si>
  <si>
    <t>4. Source: TEDB = Transportation Energy Data Book: Edition 22, 2002. Table 2.11 and A14 http://www-cta.ornl.gov/data/
EIA = Energy Information Administration, Emissions of Greenhouse Gases in the United States 2000, Appendix B, Table B1
Note: commuter rail is defined at http://www.apta.com/info/define/mode.htm. A list of agencies that are considered commuter rail can be found at http://www.apta.com/stats/modesumm/cragency.htm</t>
  </si>
  <si>
    <t>med gas auto   23 mpg</t>
  </si>
  <si>
    <t>diesel auto           24 mpg</t>
  </si>
  <si>
    <t>gas light truck    14 mpg</t>
  </si>
  <si>
    <t>gas heavy truck   6 mpg</t>
  </si>
  <si>
    <t>light motorcycle  60 mpg</t>
  </si>
  <si>
    <t>Rail transportation</t>
  </si>
  <si>
    <t>Road transportation activity</t>
  </si>
  <si>
    <t>Miles per gallon for typical vehicles, EPA/USA</t>
  </si>
  <si>
    <t>metric tonnes</t>
  </si>
  <si>
    <r>
      <t>Your Vehicle Definitions</t>
    </r>
    <r>
      <rPr>
        <b/>
        <sz val="10"/>
        <color indexed="17"/>
        <rFont val="Arial"/>
        <family val="2"/>
      </rPr>
      <t xml:space="preserve">   </t>
    </r>
    <r>
      <rPr>
        <b/>
        <sz val="9"/>
        <color indexed="11"/>
        <rFont val="Arial"/>
        <family val="2"/>
      </rPr>
      <t xml:space="preserve">edit liters/100 km  </t>
    </r>
    <r>
      <rPr>
        <b/>
        <sz val="9"/>
        <color indexed="11"/>
        <rFont val="Symbol"/>
        <family val="1"/>
      </rPr>
      <t>¯</t>
    </r>
    <r>
      <rPr>
        <b/>
        <sz val="9"/>
        <color indexed="11"/>
        <rFont val="Arial"/>
        <family val="2"/>
      </rPr>
      <t xml:space="preserve">    OR mpg  </t>
    </r>
    <r>
      <rPr>
        <b/>
        <sz val="9"/>
        <color indexed="11"/>
        <rFont val="Symbol"/>
        <family val="1"/>
      </rPr>
      <t>¯</t>
    </r>
  </si>
  <si>
    <t xml:space="preserve">  Note:  Use this worksheet to calculate your emissions if you have activity data only for the distance travelled. </t>
  </si>
  <si>
    <t>Air Travel factors for flights with different distances</t>
  </si>
  <si>
    <t>(other car mpg below)</t>
  </si>
  <si>
    <t>Go_D1_Road</t>
  </si>
  <si>
    <t>186 miles</t>
  </si>
  <si>
    <t>559 miles</t>
  </si>
  <si>
    <t>1690 miles</t>
  </si>
  <si>
    <t>units</t>
  </si>
  <si>
    <t>unit description</t>
  </si>
  <si>
    <t>tons</t>
  </si>
  <si>
    <t>Total acrtivity units</t>
  </si>
  <si>
    <t xml:space="preserve"> =??*N98*O98</t>
  </si>
  <si>
    <t>Optional Calculation Table</t>
  </si>
  <si>
    <t>(copy to green column to left)</t>
  </si>
  <si>
    <t># of Flights</t>
  </si>
  <si>
    <t>coal locomotive</t>
  </si>
  <si>
    <t>US DOT/FRA Rail vs Truck Efficiency:  The Relative Fuel Efficiency of Truck Competitive Rail Freight and Truck Operations Compared in a range of corridors (1991)</t>
  </si>
  <si>
    <t xml:space="preserve"> ton miles per gallon</t>
  </si>
  <si>
    <t>90-140</t>
  </si>
  <si>
    <t>300-1000</t>
  </si>
  <si>
    <t>Therefore truck freight is estimated at 3.6 times .02 kg CO2/tonne_km</t>
  </si>
  <si>
    <t>Frequently Asked Questions for Mobile Sources Module</t>
  </si>
  <si>
    <t>Excel mechanics</t>
  </si>
  <si>
    <t>When I save the file, I get a message from Excel saying it is in an earlier version.  What do I do?</t>
  </si>
  <si>
    <t>This workbook was deliberately designed as an Excel 95 file, so that users with Excel 95 could use it.  You may save it</t>
  </si>
  <si>
    <t>This workbook is intended to facilitate calculation and reporting of direct and indirect GHG emissions from mobile sources.</t>
  </si>
  <si>
    <t>opens and closes "twisty" sections</t>
  </si>
  <si>
    <t xml:space="preserve">Part 2.  Emissions Calculated from Distance Traveled, All Modes of Transport </t>
  </si>
  <si>
    <t xml:space="preserve">Part 1.  Emissions Calculated from Fuel Used:  All Modes of Transport </t>
  </si>
  <si>
    <t>in any version of Excel (5/95 or higher), but if saved as a Excel 97 document, someone using Excel 95 will not be able to open it.</t>
  </si>
  <si>
    <t xml:space="preserve">You may click either the yes or the no buttons on the dialog box that Excel presents when you save the file.  </t>
  </si>
  <si>
    <t>I get a message from Excel saying a cell is protected.  What do I do?</t>
  </si>
  <si>
    <t>Worksheets have been protected to restrict data entry to cells shaded yellow and light blue.  If you must unprotect a worksheet,</t>
  </si>
  <si>
    <r>
      <t xml:space="preserve">go to the Tools menu and select the Protection subcommand.  Select the option to </t>
    </r>
    <r>
      <rPr>
        <i/>
        <sz val="10"/>
        <rFont val="Arial"/>
        <family val="0"/>
      </rPr>
      <t>unprotect sheet</t>
    </r>
    <r>
      <rPr>
        <sz val="10"/>
        <rFont val="Arial"/>
        <family val="0"/>
      </rPr>
      <t xml:space="preserve">, which toggles.  </t>
    </r>
  </si>
  <si>
    <t>When the file was distributed, there was no password.  Generally, keep worksheets protected to prevent errors.</t>
  </si>
  <si>
    <t>To make a cell editable when the sheet is protected, first unprotect the sheet.  Then select the cell, and using the Format Cell command</t>
  </si>
  <si>
    <t>activate the protection tab on the command dialog box and make sure the Locked option is not checked.  (It toggles).  Finally,</t>
  </si>
  <si>
    <t>re-protect the worksheet using the Tools Protection Command.</t>
  </si>
  <si>
    <t>How can I insert rows (without messing up the twisties and the rows they collapse and hide)?</t>
  </si>
  <si>
    <t>and run the FIX ROWS macro before re-protecting the worksheet.  This updates the row numbering scheme in hidden</t>
  </si>
  <si>
    <t xml:space="preserve">column A, which is used so the "Twisties" can open and close the correct number of rows in the section below them.  </t>
  </si>
  <si>
    <t>The workbook pauses to calculate each time I add a number.  Can I speed this up?</t>
  </si>
  <si>
    <r>
      <t xml:space="preserve">Under the tools menu, select the Options subcommand, then the tab labeled </t>
    </r>
    <r>
      <rPr>
        <i/>
        <sz val="10"/>
        <rFont val="Arial"/>
        <family val="2"/>
      </rPr>
      <t xml:space="preserve">Calculation. </t>
    </r>
    <r>
      <rPr>
        <sz val="10"/>
        <rFont val="Arial"/>
        <family val="2"/>
      </rPr>
      <t xml:space="preserve"> Set calculation to manual- this </t>
    </r>
  </si>
  <si>
    <t>kg CO2 / GJ (based on lower heating value)</t>
  </si>
  <si>
    <t>turns off Excel's default setting which is to recalculate the entire sheet with every change.  Enter as much data as you like, then</t>
  </si>
  <si>
    <t xml:space="preserve">press on the F9 button to calculate the entire worksheet at once.  </t>
  </si>
  <si>
    <t>MACROS PAGE</t>
  </si>
  <si>
    <t xml:space="preserve">This page contains macros (programs) that  </t>
  </si>
  <si>
    <t xml:space="preserve">automate features of this workbook. </t>
  </si>
  <si>
    <t>Do not modify this page!</t>
  </si>
  <si>
    <t>Welcome</t>
  </si>
  <si>
    <t>Auto Open macro, runs when file opens</t>
  </si>
  <si>
    <t>Assigns address of worksheet to variable name</t>
  </si>
  <si>
    <t>Assigns name of workbook to variable name</t>
  </si>
  <si>
    <t>gets pathway name of macro file</t>
  </si>
  <si>
    <t>Checks to see if in DOS or Mac environment</t>
  </si>
  <si>
    <t>Sets file separator for MAC</t>
  </si>
  <si>
    <t>skips to rest of welcome Macro</t>
  </si>
  <si>
    <t>sets proper DOS name</t>
  </si>
  <si>
    <t xml:space="preserve">  =OPTIONS.CALCULATION(3,,,0.001,,FALSE)</t>
  </si>
  <si>
    <t>turns off calculation?</t>
  </si>
  <si>
    <t>these rows set screen to be viewable on most computers</t>
  </si>
  <si>
    <t>to make sure column A has the right numbers so that</t>
  </si>
  <si>
    <t>twisties and totals reference correct rows.</t>
  </si>
  <si>
    <t>Addrow</t>
  </si>
  <si>
    <t>Adds a row above the row</t>
  </si>
  <si>
    <t>the calling button is on</t>
  </si>
  <si>
    <t xml:space="preserve"> =ECHO(FALSE)</t>
  </si>
  <si>
    <t>get reference of cell</t>
  </si>
  <si>
    <t>get location of "C"</t>
  </si>
  <si>
    <t>get row</t>
  </si>
  <si>
    <t>copy down repeated material from above</t>
  </si>
  <si>
    <t>correct row numbering scheme in column A</t>
  </si>
  <si>
    <t>ShowCloseblock</t>
  </si>
  <si>
    <t>get rows to do</t>
  </si>
  <si>
    <t>get status of section</t>
  </si>
  <si>
    <t>if open, close, otherwise open</t>
  </si>
  <si>
    <t>Close section</t>
  </si>
  <si>
    <t>install closed button</t>
  </si>
  <si>
    <t>Open section</t>
  </si>
  <si>
    <t>Fix_Sheets</t>
  </si>
  <si>
    <t>turn off screen refresh</t>
  </si>
  <si>
    <t>Fix_rows</t>
  </si>
  <si>
    <t>Fixes row numbering so twisty boxes</t>
  </si>
  <si>
    <t>select proper number of rows, also, totals work</t>
  </si>
  <si>
    <t>Go_Home</t>
  </si>
  <si>
    <t>Go_Introduction</t>
  </si>
  <si>
    <t>Go_Reference</t>
  </si>
  <si>
    <t>Go_FAQ</t>
  </si>
  <si>
    <t>Go_D1_air</t>
  </si>
  <si>
    <t>Go_D1_boat</t>
  </si>
  <si>
    <t>Go_D1_rail</t>
  </si>
  <si>
    <t>Go_In2_Distance</t>
  </si>
  <si>
    <t>Go_In2_Rail</t>
  </si>
  <si>
    <t>Go_In2_Boat</t>
  </si>
  <si>
    <t>Go_In2_Air</t>
  </si>
  <si>
    <t>Add_Data_Row</t>
  </si>
  <si>
    <t>what shade is it?</t>
  </si>
  <si>
    <t>Alert here</t>
  </si>
  <si>
    <t>get_color</t>
  </si>
  <si>
    <t>zSee_full_size</t>
  </si>
  <si>
    <t>RPM</t>
  </si>
  <si>
    <t>WRI-WBCSD GHG Protocol Initiative</t>
  </si>
  <si>
    <t>Source of Emissions</t>
  </si>
  <si>
    <t xml:space="preserve">Road </t>
  </si>
  <si>
    <t>Calculated from fuel use:</t>
  </si>
  <si>
    <t>mt</t>
  </si>
  <si>
    <t xml:space="preserve">Vehicles </t>
  </si>
  <si>
    <t>&gt;994 miles</t>
  </si>
  <si>
    <t>Calculated from distance:</t>
  </si>
  <si>
    <t>Trains</t>
  </si>
  <si>
    <t>Aircraft</t>
  </si>
  <si>
    <t>Total Emissions:</t>
  </si>
  <si>
    <t xml:space="preserve">        </t>
  </si>
  <si>
    <t>This brief introduction supplements the guidance document, "Fossil Fuel Combustion in Mobile Sources: Guidelines",</t>
  </si>
  <si>
    <t>Please read the accompanying guidance document before using these worksheets.</t>
  </si>
  <si>
    <t>Purpose and domain of this section</t>
  </si>
  <si>
    <t>This is a cross-sectoral guideline which should be applied by all companies whose operations involve combustion of</t>
  </si>
  <si>
    <t xml:space="preserve">fossil fuel in mobile sources or the purchase of freight and/or travel services. </t>
  </si>
  <si>
    <t>Assumptions</t>
  </si>
  <si>
    <t>for National Greenhouse Gas Inventories: Reference Manual</t>
  </si>
  <si>
    <t>Please visit the GHG Protocol Initiative at www.ghgprotocol.org for other GHG calculation tools.</t>
  </si>
  <si>
    <r>
      <t>UK Rail</t>
    </r>
  </si>
  <si>
    <t>UK Rail</t>
  </si>
  <si>
    <t>US Commuter Rail</t>
  </si>
  <si>
    <t>Canadian Rail</t>
  </si>
  <si>
    <t>Version 1.1 September 2003</t>
  </si>
  <si>
    <t>Version 1.2 October 2003</t>
  </si>
  <si>
    <t>Added passenger train emission factors based on distance and type of service</t>
  </si>
  <si>
    <t xml:space="preserve">such as intercity, commuter, and subway. These are particularly applicable to </t>
  </si>
  <si>
    <t xml:space="preserve">commuting emission estimates. </t>
  </si>
  <si>
    <t>For most activities, the reporting worksheets include all the detail needed including default emission factors.  The tables given below are provided as a general resource for those users who may wish to develop custom factors, or trace the derivation of factors given.</t>
  </si>
  <si>
    <t>Default or average-case factors are included for your information as a possible alternative if custom emission factors are not available.</t>
  </si>
  <si>
    <t>Acknowledgements</t>
  </si>
  <si>
    <t>This workbook was developed by David Cross of RPM Systems, The RETEC Group, Inc., with contributions from Gwen Parker/WRI,</t>
  </si>
  <si>
    <t>Table 12 to 15 are from National Transportation Statistics, 2000, Bureau of Transportation Statistics, USA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</si>
</sst>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or &quot;000&quot;%&quot;"/>
    <numFmt numFmtId="181" formatCode="&quot;$&quot;#,##0.00"/>
    <numFmt numFmtId="182" formatCode="&quot;$&quot;#,##0"/>
    <numFmt numFmtId="183" formatCode="0.0%"/>
    <numFmt numFmtId="184" formatCode="0.0"/>
    <numFmt numFmtId="185" formatCode="&quot;x &quot;.000&quot;= &quot;"/>
    <numFmt numFmtId="186" formatCode="&quot;x &quot;0.0&quot;= &quot;"/>
    <numFmt numFmtId="187" formatCode="&quot;x &quot;0.000&quot;= &quot;"/>
    <numFmt numFmtId="188" formatCode="&quot;$&quot;#,##0.0"/>
    <numFmt numFmtId="189" formatCode="#,##0.0"/>
    <numFmt numFmtId="190" formatCode="&quot;Page total cost= &quot;#,##0"/>
    <numFmt numFmtId="191" formatCode="0.000"/>
    <numFmt numFmtId="192" formatCode="0.0000"/>
    <numFmt numFmtId="193" formatCode="0.00000"/>
    <numFmt numFmtId="194" formatCode="mmmm\ d\,\ yyyy"/>
    <numFmt numFmtId="195" formatCode="0.0&quot; **&quot;"/>
    <numFmt numFmtId="196" formatCode="0.0&quot; *&quot;"/>
    <numFmt numFmtId="197" formatCode="#,##0&quot; &quot;"/>
    <numFmt numFmtId="198" formatCode="#,##0&quot;  &quot;"/>
    <numFmt numFmtId="199" formatCode="#,##0.000"/>
    <numFmt numFmtId="200" formatCode="#,##0.0000"/>
    <numFmt numFmtId="201" formatCode="_(* #,##0.000_);_(* \(#,##0.000\);_(* &quot;-&quot;??_);_(@_)"/>
    <numFmt numFmtId="202" formatCode="_(* #,##0.0000_);_(* \(#,##0.0000\);_(* &quot;-&quot;??_);_(@_)"/>
    <numFmt numFmtId="203" formatCode="_(* #,##0.0_);_(* \(#,##0.0\);_(* &quot;-&quot;??_);_(@_)"/>
    <numFmt numFmtId="204" formatCode="_(* #,##0_);_(* \(#,##0\);_(* &quot;-&quot;??_);_(@_)"/>
    <numFmt numFmtId="205" formatCode="0.0000000"/>
    <numFmt numFmtId="206" formatCode="0.000000"/>
    <numFmt numFmtId="207" formatCode="0.00&quot; **&quot;"/>
    <numFmt numFmtId="208" formatCode="0.00&quot; *&quot;"/>
    <numFmt numFmtId="209" formatCode="#,##0.0\ &quot;y=&quot;"/>
    <numFmt numFmtId="210" formatCode="#,##0.000000"/>
    <numFmt numFmtId="211" formatCode="###0.00_)"/>
    <numFmt numFmtId="212" formatCode="0.0_W"/>
    <numFmt numFmtId="213" formatCode="#,##0_)"/>
    <numFmt numFmtId="214" formatCode="0.000\ &quot;t/m3&quot;"/>
    <numFmt numFmtId="215" formatCode="#,##0.0\ &quot;l/100km&quot;"/>
    <numFmt numFmtId="216" formatCode="0.00000000"/>
  </numFmts>
  <fonts count="103">
    <font>
      <sz val="10"/>
      <name val="Arial"/>
      <family val="0"/>
    </font>
    <font>
      <sz val="8"/>
      <name val="Arial"/>
      <family val="2"/>
    </font>
    <font>
      <b/>
      <sz val="10"/>
      <name val="Arial"/>
      <family val="0"/>
    </font>
    <font>
      <sz val="10"/>
      <color indexed="57"/>
      <name val="Arial"/>
      <family val="2"/>
    </font>
    <font>
      <b/>
      <sz val="10"/>
      <color indexed="17"/>
      <name val="Webdings"/>
      <family val="1"/>
    </font>
    <font>
      <u val="single"/>
      <sz val="10"/>
      <color indexed="12"/>
      <name val="Arial"/>
      <family val="0"/>
    </font>
    <font>
      <u val="single"/>
      <sz val="10"/>
      <color indexed="36"/>
      <name val="Arial"/>
      <family val="0"/>
    </font>
    <font>
      <b/>
      <sz val="9"/>
      <name val="Arial"/>
      <family val="2"/>
    </font>
    <font>
      <sz val="9"/>
      <name val="Arial"/>
      <family val="2"/>
    </font>
    <font>
      <sz val="10"/>
      <color indexed="23"/>
      <name val="Arial"/>
      <family val="2"/>
    </font>
    <font>
      <b/>
      <sz val="10"/>
      <name val="Geneva"/>
      <family val="0"/>
    </font>
    <font>
      <sz val="10"/>
      <name val="Tms Rmn"/>
      <family val="0"/>
    </font>
    <font>
      <i/>
      <sz val="10"/>
      <name val="Geneva"/>
      <family val="0"/>
    </font>
    <font>
      <sz val="10"/>
      <name val="Geneva"/>
      <family val="0"/>
    </font>
    <font>
      <sz val="10"/>
      <name val="Helv"/>
      <family val="0"/>
    </font>
    <font>
      <sz val="9"/>
      <name val="Geneva"/>
      <family val="0"/>
    </font>
    <font>
      <b/>
      <sz val="10"/>
      <color indexed="17"/>
      <name val="Arial"/>
      <family val="2"/>
    </font>
    <font>
      <b/>
      <sz val="10"/>
      <color indexed="10"/>
      <name val="Arial"/>
      <family val="2"/>
    </font>
    <font>
      <i/>
      <sz val="10"/>
      <name val="Arial"/>
      <family val="2"/>
    </font>
    <font>
      <sz val="10"/>
      <color indexed="17"/>
      <name val="Arial"/>
      <family val="2"/>
    </font>
    <font>
      <b/>
      <sz val="12"/>
      <name val="Arial"/>
      <family val="2"/>
    </font>
    <font>
      <b/>
      <sz val="9"/>
      <color indexed="9"/>
      <name val="Arial"/>
      <family val="2"/>
    </font>
    <font>
      <sz val="9"/>
      <color indexed="9"/>
      <name val="Arial"/>
      <family val="2"/>
    </font>
    <font>
      <b/>
      <sz val="10"/>
      <color indexed="9"/>
      <name val="Arial"/>
      <family val="2"/>
    </font>
    <font>
      <sz val="8"/>
      <color indexed="9"/>
      <name val="Arial"/>
      <family val="2"/>
    </font>
    <font>
      <sz val="10"/>
      <color indexed="9"/>
      <name val="Arial"/>
      <family val="2"/>
    </font>
    <font>
      <b/>
      <sz val="10"/>
      <color indexed="8"/>
      <name val="Arial"/>
      <family val="2"/>
    </font>
    <font>
      <sz val="9"/>
      <color indexed="8"/>
      <name val="Arial"/>
      <family val="2"/>
    </font>
    <font>
      <vertAlign val="superscript"/>
      <sz val="9"/>
      <name val="Arial"/>
      <family val="2"/>
    </font>
    <font>
      <sz val="10"/>
      <color indexed="8"/>
      <name val="Arial"/>
      <family val="2"/>
    </font>
    <font>
      <sz val="8"/>
      <color indexed="8"/>
      <name val="Arial"/>
      <family val="2"/>
    </font>
    <font>
      <b/>
      <sz val="9"/>
      <color indexed="8"/>
      <name val="Arial"/>
      <family val="0"/>
    </font>
    <font>
      <b/>
      <sz val="9"/>
      <color indexed="17"/>
      <name val="Arial"/>
      <family val="0"/>
    </font>
    <font>
      <b/>
      <sz val="8"/>
      <color indexed="17"/>
      <name val="Arial"/>
      <family val="0"/>
    </font>
    <font>
      <sz val="9"/>
      <color indexed="27"/>
      <name val="Arial"/>
      <family val="2"/>
    </font>
    <font>
      <sz val="9"/>
      <color indexed="18"/>
      <name val="Arial"/>
      <family val="2"/>
    </font>
    <font>
      <vertAlign val="superscript"/>
      <sz val="10"/>
      <name val="Arial"/>
      <family val="2"/>
    </font>
    <font>
      <sz val="11"/>
      <name val="Helv"/>
      <family val="0"/>
    </font>
    <font>
      <b/>
      <sz val="18"/>
      <color indexed="8"/>
      <name val="Arial"/>
      <family val="2"/>
    </font>
    <font>
      <sz val="10"/>
      <color indexed="11"/>
      <name val="Arial"/>
      <family val="2"/>
    </font>
    <font>
      <b/>
      <sz val="18"/>
      <color indexed="11"/>
      <name val="Arial"/>
      <family val="2"/>
    </font>
    <font>
      <b/>
      <sz val="10"/>
      <color indexed="11"/>
      <name val="Arial"/>
      <family val="2"/>
    </font>
    <font>
      <sz val="9"/>
      <color indexed="11"/>
      <name val="Arial"/>
      <family val="2"/>
    </font>
    <font>
      <b/>
      <sz val="9"/>
      <color indexed="11"/>
      <name val="Arial"/>
      <family val="2"/>
    </font>
    <font>
      <b/>
      <sz val="12"/>
      <color indexed="11"/>
      <name val="Arial"/>
      <family val="2"/>
    </font>
    <font>
      <b/>
      <sz val="8"/>
      <color indexed="11"/>
      <name val="Arial"/>
      <family val="2"/>
    </font>
    <font>
      <sz val="14"/>
      <name val="Arial"/>
      <family val="2"/>
    </font>
    <font>
      <b/>
      <sz val="14"/>
      <name val="Arial"/>
      <family val="2"/>
    </font>
    <font>
      <b/>
      <sz val="12"/>
      <color indexed="8"/>
      <name val="Arial"/>
      <family val="2"/>
    </font>
    <font>
      <b/>
      <sz val="9"/>
      <color indexed="11"/>
      <name val="Symbol"/>
      <family val="1"/>
    </font>
    <font>
      <b/>
      <i/>
      <sz val="10"/>
      <name val="Arial"/>
      <family val="2"/>
    </font>
    <font>
      <u val="single"/>
      <sz val="9"/>
      <name val="Arial"/>
      <family val="2"/>
    </font>
    <font>
      <b/>
      <sz val="10"/>
      <color indexed="18"/>
      <name val="Arial"/>
      <family val="2"/>
    </font>
    <font>
      <sz val="12"/>
      <name val="Arial"/>
      <family val="2"/>
    </font>
    <font>
      <b/>
      <sz val="12"/>
      <color indexed="9"/>
      <name val="Arial"/>
      <family val="2"/>
    </font>
    <font>
      <sz val="12"/>
      <color indexed="9"/>
      <name val="Arial"/>
      <family val="2"/>
    </font>
    <font>
      <sz val="9"/>
      <color indexed="17"/>
      <name val="Arial"/>
      <family val="2"/>
    </font>
    <font>
      <b/>
      <sz val="11"/>
      <color indexed="17"/>
      <name val="Arial"/>
      <family val="2"/>
    </font>
    <font>
      <sz val="8"/>
      <name val="Tahoma"/>
      <family val="0"/>
    </font>
    <font>
      <sz val="9"/>
      <color indexed="57"/>
      <name val="Arial"/>
      <family val="2"/>
    </font>
    <font>
      <b/>
      <sz val="8"/>
      <name val="Arial"/>
      <family val="2"/>
    </font>
    <font>
      <sz val="9"/>
      <name val="Helv"/>
      <family val="0"/>
    </font>
    <font>
      <b/>
      <vertAlign val="superscript"/>
      <sz val="10"/>
      <name val="Arial"/>
      <family val="2"/>
    </font>
    <font>
      <vertAlign val="superscript"/>
      <sz val="12"/>
      <name val="Helv"/>
      <family val="0"/>
    </font>
    <font>
      <b/>
      <sz val="9"/>
      <name val="Helv"/>
      <family val="0"/>
    </font>
    <font>
      <b/>
      <sz val="10"/>
      <name val="Helv"/>
      <family val="0"/>
    </font>
    <font>
      <sz val="8"/>
      <name val="Helv"/>
      <family val="0"/>
    </font>
    <font>
      <sz val="12"/>
      <name val="Helv"/>
      <family val="0"/>
    </font>
    <font>
      <b/>
      <sz val="14"/>
      <name val="Helv"/>
      <family val="0"/>
    </font>
    <font>
      <b/>
      <sz val="12"/>
      <name val="Helv"/>
      <family val="0"/>
    </font>
    <font>
      <b/>
      <vertAlign val="superscript"/>
      <sz val="12"/>
      <name val="Arial"/>
      <family val="2"/>
    </font>
    <font>
      <vertAlign val="superscript"/>
      <sz val="8"/>
      <name val="Arial"/>
      <family val="2"/>
    </font>
    <font>
      <b/>
      <sz val="18"/>
      <name val="Arial"/>
      <family val="0"/>
    </font>
    <font>
      <sz val="8.5"/>
      <name val="Helv"/>
      <family val="0"/>
    </font>
    <font>
      <i/>
      <sz val="8"/>
      <name val="Arial"/>
      <family val="2"/>
    </font>
    <font>
      <b/>
      <i/>
      <sz val="8"/>
      <name val="Arial"/>
      <family val="2"/>
    </font>
    <font>
      <sz val="10"/>
      <color indexed="12"/>
      <name val="Arial"/>
      <family val="2"/>
    </font>
    <font>
      <b/>
      <vertAlign val="subscript"/>
      <sz val="18"/>
      <color indexed="8"/>
      <name val="Arial"/>
      <family val="2"/>
    </font>
    <font>
      <b/>
      <vertAlign val="subscript"/>
      <sz val="12"/>
      <color indexed="8"/>
      <name val="Arial"/>
      <family val="2"/>
    </font>
    <font>
      <b/>
      <sz val="14"/>
      <color indexed="11"/>
      <name val="Arial"/>
      <family val="2"/>
    </font>
    <font>
      <b/>
      <i/>
      <sz val="9"/>
      <color indexed="9"/>
      <name val="Arial"/>
      <family val="2"/>
    </font>
    <font>
      <sz val="10"/>
      <color indexed="18"/>
      <name val="Arial"/>
      <family val="2"/>
    </font>
    <font>
      <b/>
      <sz val="8"/>
      <name val="Tahoma"/>
      <family val="0"/>
    </font>
    <font>
      <sz val="10"/>
      <color indexed="48"/>
      <name val="Arial"/>
      <family val="2"/>
    </font>
    <font>
      <b/>
      <sz val="9"/>
      <color indexed="52"/>
      <name val="Arial"/>
      <family val="2"/>
    </font>
    <font>
      <b/>
      <sz val="10"/>
      <color indexed="52"/>
      <name val="Arial"/>
      <family val="2"/>
    </font>
    <font>
      <b/>
      <sz val="9"/>
      <color indexed="41"/>
      <name val="Arial"/>
      <family val="2"/>
    </font>
    <font>
      <sz val="9"/>
      <color indexed="41"/>
      <name val="Arial"/>
      <family val="2"/>
    </font>
    <font>
      <b/>
      <u val="single"/>
      <sz val="12"/>
      <name val="Arial"/>
      <family val="2"/>
    </font>
    <font>
      <b/>
      <sz val="11"/>
      <name val="Arial"/>
      <family val="2"/>
    </font>
    <font>
      <b/>
      <vertAlign val="subscript"/>
      <sz val="12"/>
      <name val="Arial"/>
      <family val="2"/>
    </font>
    <font>
      <sz val="10"/>
      <color indexed="60"/>
      <name val="Arial"/>
      <family val="2"/>
    </font>
    <font>
      <b/>
      <sz val="10"/>
      <name val="Arial Black"/>
      <family val="2"/>
    </font>
    <font>
      <b/>
      <sz val="14"/>
      <name val="Arial Black"/>
      <family val="2"/>
    </font>
    <font>
      <b/>
      <sz val="14"/>
      <color indexed="57"/>
      <name val="Webdings"/>
      <family val="1"/>
    </font>
    <font>
      <b/>
      <sz val="8"/>
      <color indexed="9"/>
      <name val="Arial"/>
      <family val="2"/>
    </font>
    <font>
      <b/>
      <sz val="8"/>
      <color indexed="8"/>
      <name val="Arial"/>
      <family val="2"/>
    </font>
    <font>
      <i/>
      <sz val="8"/>
      <color indexed="9"/>
      <name val="Arial"/>
      <family val="2"/>
    </font>
    <font>
      <b/>
      <i/>
      <sz val="8"/>
      <color indexed="9"/>
      <name val="Arial"/>
      <family val="2"/>
    </font>
    <font>
      <b/>
      <vertAlign val="subscript"/>
      <sz val="14"/>
      <color indexed="11"/>
      <name val="Arial"/>
      <family val="2"/>
    </font>
    <font>
      <b/>
      <u val="single"/>
      <sz val="10"/>
      <name val="Arial"/>
      <family val="2"/>
    </font>
    <font>
      <b/>
      <vertAlign val="subscript"/>
      <sz val="10"/>
      <name val="Arial"/>
      <family val="2"/>
    </font>
    <font>
      <sz val="10"/>
      <name val="Times New Roman"/>
      <family val="1"/>
    </font>
  </fonts>
  <fills count="1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4"/>
        <bgColor indexed="64"/>
      </patternFill>
    </fill>
    <fill>
      <patternFill patternType="solid">
        <fgColor indexed="8"/>
        <bgColor indexed="64"/>
      </patternFill>
    </fill>
    <fill>
      <patternFill patternType="solid">
        <fgColor indexed="15"/>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62"/>
        <bgColor indexed="64"/>
      </patternFill>
    </fill>
  </fills>
  <borders count="104">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color indexed="17"/>
      </bottom>
    </border>
    <border>
      <left>
        <color indexed="63"/>
      </left>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color indexed="9"/>
      </top>
      <bottom style="medium">
        <color indexed="9"/>
      </bottom>
    </border>
    <border>
      <left style="thin"/>
      <right>
        <color indexed="63"/>
      </right>
      <top>
        <color indexed="63"/>
      </top>
      <bottom>
        <color indexed="63"/>
      </bottom>
    </border>
    <border>
      <left>
        <color indexed="63"/>
      </left>
      <right>
        <color indexed="63"/>
      </right>
      <top style="thick">
        <color indexed="9"/>
      </top>
      <bottom style="thick">
        <color indexed="9"/>
      </bottom>
    </border>
    <border>
      <left>
        <color indexed="63"/>
      </left>
      <right style="thin"/>
      <top style="thick">
        <color indexed="9"/>
      </top>
      <bottom style="thick">
        <color indexed="9"/>
      </bottom>
    </border>
    <border>
      <left style="thin"/>
      <right style="thin"/>
      <top style="thick">
        <color indexed="9"/>
      </top>
      <bottom style="thick">
        <color indexed="9"/>
      </bottom>
    </border>
    <border>
      <left>
        <color indexed="63"/>
      </left>
      <right>
        <color indexed="63"/>
      </right>
      <top style="medium">
        <color indexed="11"/>
      </top>
      <bottom>
        <color indexed="63"/>
      </bottom>
    </border>
    <border>
      <left>
        <color indexed="63"/>
      </left>
      <right>
        <color indexed="63"/>
      </right>
      <top style="thin">
        <color indexed="18"/>
      </top>
      <bottom>
        <color indexed="63"/>
      </bottom>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style="thin">
        <color indexed="18"/>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medium">
        <color indexed="18"/>
      </top>
      <bottom>
        <color indexed="63"/>
      </bottom>
    </border>
    <border>
      <left>
        <color indexed="63"/>
      </left>
      <right>
        <color indexed="63"/>
      </right>
      <top style="medium">
        <color indexed="18"/>
      </top>
      <bottom>
        <color indexed="63"/>
      </bottom>
    </border>
    <border>
      <left style="thin"/>
      <right>
        <color indexed="63"/>
      </right>
      <top style="thick">
        <color indexed="9"/>
      </top>
      <bottom style="thick">
        <color indexed="9"/>
      </bottom>
    </border>
    <border>
      <left>
        <color indexed="63"/>
      </left>
      <right style="thin">
        <color indexed="18"/>
      </right>
      <top style="medium">
        <color indexed="18"/>
      </top>
      <bottom>
        <color indexed="63"/>
      </bottom>
    </border>
    <border>
      <left>
        <color indexed="63"/>
      </left>
      <right style="thin">
        <color indexed="18"/>
      </right>
      <top style="thin">
        <color indexed="18"/>
      </top>
      <bottom>
        <color indexed="63"/>
      </bottom>
    </border>
    <border>
      <left>
        <color indexed="63"/>
      </left>
      <right style="thin">
        <color indexed="18"/>
      </right>
      <top style="thin">
        <color indexed="18"/>
      </top>
      <bottom style="thin">
        <color indexed="18"/>
      </bottom>
    </border>
    <border>
      <left>
        <color indexed="63"/>
      </left>
      <right>
        <color indexed="63"/>
      </right>
      <top>
        <color indexed="63"/>
      </top>
      <bottom style="thick">
        <color indexed="9"/>
      </bottom>
    </border>
    <border>
      <left>
        <color indexed="63"/>
      </left>
      <right>
        <color indexed="63"/>
      </right>
      <top style="medium">
        <color indexed="17"/>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medium"/>
      <bottom style="thin"/>
    </border>
    <border>
      <left style="thin"/>
      <right>
        <color indexed="63"/>
      </right>
      <top>
        <color indexed="63"/>
      </top>
      <bottom style="medium"/>
    </border>
    <border>
      <left style="thin"/>
      <right>
        <color indexed="63"/>
      </right>
      <top style="medium">
        <color indexed="9"/>
      </top>
      <bottom style="medium">
        <color indexed="9"/>
      </bottom>
    </border>
    <border>
      <left>
        <color indexed="63"/>
      </left>
      <right>
        <color indexed="63"/>
      </right>
      <top>
        <color indexed="63"/>
      </top>
      <bottom style="thin">
        <color indexed="48"/>
      </bottom>
    </border>
    <border>
      <left>
        <color indexed="63"/>
      </left>
      <right>
        <color indexed="63"/>
      </right>
      <top style="medium">
        <color indexed="9"/>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color indexed="9"/>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thick"/>
      <bottom style="thin"/>
    </border>
    <border>
      <left style="thin"/>
      <right>
        <color indexed="63"/>
      </right>
      <top style="thick"/>
      <bottom style="thin"/>
    </border>
    <border>
      <left>
        <color indexed="63"/>
      </left>
      <right style="thin"/>
      <top style="thick"/>
      <bottom style="thin"/>
    </border>
    <border>
      <left style="thin">
        <color indexed="18"/>
      </left>
      <right style="thin">
        <color indexed="18"/>
      </right>
      <top style="thin">
        <color indexed="18"/>
      </top>
      <bottom style="thin">
        <color indexed="18"/>
      </bottom>
    </border>
    <border>
      <left style="medium">
        <color indexed="62"/>
      </left>
      <right>
        <color indexed="63"/>
      </right>
      <top style="medium">
        <color indexed="62"/>
      </top>
      <bottom>
        <color indexed="63"/>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color indexed="63"/>
      </left>
      <right style="medium">
        <color indexed="15"/>
      </right>
      <top>
        <color indexed="63"/>
      </top>
      <bottom>
        <color indexed="63"/>
      </bottom>
    </border>
    <border>
      <left style="medium">
        <color indexed="15"/>
      </left>
      <right>
        <color indexed="63"/>
      </right>
      <top style="medium">
        <color indexed="62"/>
      </top>
      <bottom style="medium">
        <color indexed="62"/>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indexed="15"/>
      </left>
      <right>
        <color indexed="63"/>
      </right>
      <top>
        <color indexed="63"/>
      </top>
      <bottom style="medium">
        <color indexed="62"/>
      </bottom>
    </border>
    <border>
      <left style="medium">
        <color indexed="15"/>
      </left>
      <right>
        <color indexed="63"/>
      </right>
      <top style="medium">
        <color indexed="62"/>
      </top>
      <bottom style="medium">
        <color indexed="15"/>
      </bottom>
    </border>
    <border>
      <left style="medium">
        <color indexed="15"/>
      </left>
      <right>
        <color indexed="63"/>
      </right>
      <top>
        <color indexed="63"/>
      </top>
      <bottom>
        <color indexed="63"/>
      </bottom>
    </border>
    <border>
      <left style="medium">
        <color indexed="15"/>
      </left>
      <right>
        <color indexed="63"/>
      </right>
      <top>
        <color indexed="63"/>
      </top>
      <bottom style="medium">
        <color indexed="15"/>
      </bottom>
    </border>
    <border>
      <left style="medium">
        <color indexed="15"/>
      </left>
      <right>
        <color indexed="63"/>
      </right>
      <top style="medium">
        <color indexed="40"/>
      </top>
      <bottom>
        <color indexed="63"/>
      </bottom>
    </border>
    <border>
      <left>
        <color indexed="63"/>
      </left>
      <right>
        <color indexed="63"/>
      </right>
      <top style="medium">
        <color indexed="40"/>
      </top>
      <bottom>
        <color indexed="63"/>
      </bottom>
    </border>
    <border>
      <left>
        <color indexed="63"/>
      </left>
      <right style="medium">
        <color indexed="15"/>
      </right>
      <top style="medium">
        <color indexed="40"/>
      </top>
      <bottom>
        <color indexed="63"/>
      </bottom>
    </border>
    <border>
      <left style="thin"/>
      <right style="thin"/>
      <top style="thin"/>
      <bottom style="thick"/>
    </border>
    <border>
      <left style="thin"/>
      <right>
        <color indexed="63"/>
      </right>
      <top style="thin"/>
      <bottom style="thick"/>
    </border>
    <border>
      <left>
        <color indexed="63"/>
      </left>
      <right style="thin"/>
      <top style="thin"/>
      <bottom style="thick"/>
    </border>
    <border>
      <left style="thin"/>
      <right style="thin"/>
      <top style="thick">
        <color indexed="9"/>
      </top>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thin">
        <color indexed="9"/>
      </bottom>
    </border>
    <border>
      <left>
        <color indexed="63"/>
      </left>
      <right style="thin"/>
      <top style="thin"/>
      <bottom style="medium"/>
    </border>
    <border>
      <left style="thick"/>
      <right style="medium"/>
      <top style="thick"/>
      <bottom style="thick"/>
    </border>
    <border>
      <left>
        <color indexed="63"/>
      </left>
      <right style="thick"/>
      <top style="thick"/>
      <bottom style="thick"/>
    </border>
    <border>
      <left style="thick"/>
      <right style="medium"/>
      <top>
        <color indexed="63"/>
      </top>
      <bottom style="medium"/>
    </border>
    <border>
      <left style="medium"/>
      <right>
        <color indexed="63"/>
      </right>
      <top style="medium"/>
      <bottom style="medium"/>
    </border>
    <border>
      <left style="thick"/>
      <right>
        <color indexed="63"/>
      </right>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medium"/>
      <top style="medium"/>
      <bottom style="medium"/>
    </border>
    <border>
      <left>
        <color indexed="63"/>
      </left>
      <right>
        <color indexed="63"/>
      </right>
      <top>
        <color indexed="63"/>
      </top>
      <bottom style="medium">
        <color indexed="40"/>
      </bottom>
    </border>
    <border>
      <left>
        <color indexed="63"/>
      </left>
      <right style="medium">
        <color indexed="15"/>
      </right>
      <top>
        <color indexed="63"/>
      </top>
      <bottom style="medium">
        <color indexed="4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6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203" fontId="0" fillId="0" borderId="0" applyFont="0" applyFill="0" applyBorder="0" applyAlignment="0" applyProtection="0"/>
    <xf numFmtId="3" fontId="61" fillId="0" borderId="1" applyAlignment="0">
      <protection/>
    </xf>
    <xf numFmtId="213" fontId="61" fillId="0" borderId="1">
      <alignment horizontal="right" vertical="center"/>
      <protection/>
    </xf>
    <xf numFmtId="49" fontId="63" fillId="0" borderId="1">
      <alignment horizontal="left" vertical="center"/>
      <protection/>
    </xf>
    <xf numFmtId="211" fontId="14" fillId="0" borderId="1" applyNumberFormat="0" applyFill="0">
      <alignment horizontal="right"/>
      <protection/>
    </xf>
    <xf numFmtId="212" fontId="14"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64" fillId="0" borderId="1">
      <alignment horizontal="left"/>
      <protection/>
    </xf>
    <xf numFmtId="0" fontId="64" fillId="0" borderId="2">
      <alignment horizontal="right" vertical="center"/>
      <protection/>
    </xf>
    <xf numFmtId="0" fontId="73" fillId="0" borderId="1">
      <alignment horizontal="left" vertical="center"/>
      <protection/>
    </xf>
    <xf numFmtId="0" fontId="14" fillId="0" borderId="1">
      <alignment horizontal="left" vertical="center"/>
      <protection/>
    </xf>
    <xf numFmtId="0" fontId="65" fillId="0" borderId="1">
      <alignment horizontal="left"/>
      <protection/>
    </xf>
    <xf numFmtId="0" fontId="65" fillId="2" borderId="0">
      <alignment horizontal="centerContinuous" wrapText="1"/>
      <protection/>
    </xf>
    <xf numFmtId="49" fontId="65" fillId="2" borderId="3">
      <alignment horizontal="left" vertical="center"/>
      <protection/>
    </xf>
    <xf numFmtId="0" fontId="65" fillId="2" borderId="0">
      <alignment horizontal="centerContinuous" vertical="center" wrapText="1"/>
      <protection/>
    </xf>
    <xf numFmtId="0" fontId="5" fillId="0" borderId="0" applyNumberFormat="0" applyFill="0" applyBorder="0" applyAlignment="0" applyProtection="0"/>
    <xf numFmtId="9" fontId="0" fillId="0" borderId="0" applyFont="0" applyFill="0" applyBorder="0" applyAlignment="0" applyProtection="0"/>
    <xf numFmtId="3" fontId="61" fillId="0" borderId="0">
      <alignment horizontal="left" vertical="center"/>
      <protection/>
    </xf>
    <xf numFmtId="0" fontId="67" fillId="0" borderId="0">
      <alignment horizontal="left" vertical="center"/>
      <protection/>
    </xf>
    <xf numFmtId="0" fontId="66" fillId="0" borderId="0">
      <alignment horizontal="right"/>
      <protection/>
    </xf>
    <xf numFmtId="49" fontId="66" fillId="0" borderId="0">
      <alignment horizontal="center"/>
      <protection/>
    </xf>
    <xf numFmtId="0" fontId="63" fillId="0" borderId="0">
      <alignment horizontal="right"/>
      <protection/>
    </xf>
    <xf numFmtId="0" fontId="66" fillId="0" borderId="0">
      <alignment horizontal="left"/>
      <protection/>
    </xf>
    <xf numFmtId="49" fontId="61" fillId="0" borderId="0">
      <alignment horizontal="left" vertical="center"/>
      <protection/>
    </xf>
    <xf numFmtId="49" fontId="63" fillId="0" borderId="1">
      <alignment horizontal="left" vertical="center"/>
      <protection/>
    </xf>
    <xf numFmtId="49" fontId="67" fillId="0" borderId="1" applyFill="0">
      <alignment horizontal="left" vertical="center"/>
      <protection/>
    </xf>
    <xf numFmtId="49" fontId="63" fillId="0" borderId="1">
      <alignment horizontal="left"/>
      <protection/>
    </xf>
    <xf numFmtId="211" fontId="61" fillId="0" borderId="0" applyNumberFormat="0">
      <alignment horizontal="right"/>
      <protection/>
    </xf>
    <xf numFmtId="0" fontId="64" fillId="3" borderId="0">
      <alignment horizontal="centerContinuous" vertical="center" wrapText="1"/>
      <protection/>
    </xf>
    <xf numFmtId="0" fontId="64" fillId="0" borderId="4">
      <alignment horizontal="left" vertical="center"/>
      <protection/>
    </xf>
    <xf numFmtId="0" fontId="68" fillId="0" borderId="0">
      <alignment horizontal="left" vertical="top"/>
      <protection/>
    </xf>
    <xf numFmtId="0" fontId="65" fillId="0" borderId="0">
      <alignment horizontal="left"/>
      <protection/>
    </xf>
    <xf numFmtId="0" fontId="69" fillId="0" borderId="0">
      <alignment horizontal="left"/>
      <protection/>
    </xf>
    <xf numFmtId="0" fontId="14" fillId="0" borderId="0">
      <alignment horizontal="left"/>
      <protection/>
    </xf>
    <xf numFmtId="0" fontId="68" fillId="0" borderId="0">
      <alignment horizontal="left" vertical="top"/>
      <protection/>
    </xf>
    <xf numFmtId="0" fontId="69" fillId="0" borderId="0">
      <alignment horizontal="left"/>
      <protection/>
    </xf>
    <xf numFmtId="0" fontId="14" fillId="0" borderId="0">
      <alignment horizontal="left"/>
      <protection/>
    </xf>
    <xf numFmtId="0" fontId="0" fillId="0" borderId="5" applyNumberFormat="0" applyFont="0" applyFill="0" applyAlignment="0" applyProtection="0"/>
    <xf numFmtId="49" fontId="61" fillId="0" borderId="1">
      <alignment horizontal="left"/>
      <protection/>
    </xf>
    <xf numFmtId="0" fontId="64" fillId="0" borderId="2">
      <alignment horizontal="left"/>
      <protection/>
    </xf>
    <xf numFmtId="0" fontId="65" fillId="0" borderId="0">
      <alignment horizontal="left" vertical="center"/>
      <protection/>
    </xf>
    <xf numFmtId="49" fontId="66" fillId="0" borderId="1">
      <alignment horizontal="left"/>
      <protection/>
    </xf>
  </cellStyleXfs>
  <cellXfs count="1040">
    <xf numFmtId="0" fontId="0" fillId="0" borderId="0" xfId="0" applyAlignment="1">
      <alignment/>
    </xf>
    <xf numFmtId="0" fontId="0" fillId="4" borderId="0" xfId="0" applyFill="1" applyAlignment="1">
      <alignment/>
    </xf>
    <xf numFmtId="0" fontId="1" fillId="0" borderId="0" xfId="0" applyFont="1" applyFill="1" applyAlignment="1">
      <alignment horizontal="right" vertical="center"/>
    </xf>
    <xf numFmtId="0" fontId="0" fillId="0" borderId="6" xfId="0" applyFill="1" applyBorder="1" applyAlignment="1">
      <alignment vertical="center"/>
    </xf>
    <xf numFmtId="0" fontId="10" fillId="4" borderId="0" xfId="0" applyFont="1" applyFill="1" applyAlignment="1">
      <alignment/>
    </xf>
    <xf numFmtId="0" fontId="11" fillId="4" borderId="0" xfId="0" applyFont="1" applyFill="1" applyAlignment="1">
      <alignment/>
    </xf>
    <xf numFmtId="0" fontId="12" fillId="4" borderId="0" xfId="0" applyFont="1" applyFill="1" applyAlignment="1">
      <alignment/>
    </xf>
    <xf numFmtId="0" fontId="13" fillId="4" borderId="0" xfId="0" applyFont="1" applyFill="1" applyAlignment="1">
      <alignment/>
    </xf>
    <xf numFmtId="0" fontId="14" fillId="4" borderId="0" xfId="0" applyFont="1" applyFill="1" applyAlignment="1">
      <alignment/>
    </xf>
    <xf numFmtId="0" fontId="0" fillId="4" borderId="0" xfId="0" applyFill="1" applyBorder="1" applyAlignment="1" applyProtection="1">
      <alignment/>
      <protection locked="0"/>
    </xf>
    <xf numFmtId="0" fontId="0" fillId="4" borderId="0" xfId="0" applyFill="1" applyBorder="1" applyAlignment="1">
      <alignment/>
    </xf>
    <xf numFmtId="0" fontId="14" fillId="4" borderId="0" xfId="0" applyFont="1" applyFill="1" applyAlignment="1" applyProtection="1">
      <alignment/>
      <protection locked="0"/>
    </xf>
    <xf numFmtId="0" fontId="16" fillId="4" borderId="0" xfId="0" applyFont="1" applyFill="1" applyAlignment="1">
      <alignment/>
    </xf>
    <xf numFmtId="0" fontId="17" fillId="4" borderId="0" xfId="0" applyFont="1" applyFill="1" applyAlignment="1">
      <alignment/>
    </xf>
    <xf numFmtId="0" fontId="19" fillId="4" borderId="0" xfId="0" applyFont="1" applyFill="1" applyAlignment="1">
      <alignment/>
    </xf>
    <xf numFmtId="0" fontId="0" fillId="0" borderId="0" xfId="0" applyFill="1" applyAlignment="1">
      <alignment/>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Alignment="1">
      <alignment/>
    </xf>
    <xf numFmtId="0" fontId="1" fillId="0" borderId="0" xfId="0" applyFont="1" applyFill="1" applyBorder="1" applyAlignment="1">
      <alignment vertical="center"/>
    </xf>
    <xf numFmtId="0" fontId="0" fillId="0" borderId="0" xfId="0" applyFill="1" applyAlignment="1">
      <alignment vertical="center"/>
    </xf>
    <xf numFmtId="0" fontId="9" fillId="0" borderId="0" xfId="0" applyFont="1" applyFill="1" applyBorder="1" applyAlignment="1">
      <alignment vertical="center"/>
    </xf>
    <xf numFmtId="0" fontId="2" fillId="0" borderId="0" xfId="0" applyFont="1" applyFill="1" applyAlignment="1">
      <alignment vertical="center"/>
    </xf>
    <xf numFmtId="0" fontId="16" fillId="0" borderId="0" xfId="0" applyFont="1" applyFill="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17" fillId="0" borderId="0" xfId="0" applyFont="1" applyFill="1" applyAlignment="1">
      <alignment vertical="center"/>
    </xf>
    <xf numFmtId="0" fontId="19" fillId="0" borderId="0" xfId="0" applyFont="1" applyFill="1" applyAlignment="1">
      <alignment vertical="center"/>
    </xf>
    <xf numFmtId="0" fontId="0" fillId="0" borderId="0"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wrapText="1"/>
    </xf>
    <xf numFmtId="0" fontId="0" fillId="0" borderId="0" xfId="0" applyBorder="1" applyAlignment="1">
      <alignment/>
    </xf>
    <xf numFmtId="0" fontId="0" fillId="0" borderId="11" xfId="0" applyBorder="1" applyAlignment="1">
      <alignment/>
    </xf>
    <xf numFmtId="0" fontId="0" fillId="5" borderId="0" xfId="0" applyFill="1" applyAlignment="1">
      <alignment/>
    </xf>
    <xf numFmtId="0" fontId="1" fillId="5" borderId="0" xfId="0" applyFont="1" applyFill="1" applyAlignment="1">
      <alignment horizontal="right"/>
    </xf>
    <xf numFmtId="0" fontId="0" fillId="5" borderId="0" xfId="0" applyFill="1" applyAlignment="1">
      <alignment horizontal="left"/>
    </xf>
    <xf numFmtId="0" fontId="1" fillId="5" borderId="0" xfId="0" applyFont="1" applyFill="1" applyBorder="1" applyAlignment="1">
      <alignment/>
    </xf>
    <xf numFmtId="0" fontId="1" fillId="5" borderId="0" xfId="0" applyFont="1" applyFill="1" applyAlignment="1">
      <alignment wrapText="1"/>
    </xf>
    <xf numFmtId="0" fontId="0" fillId="5" borderId="12" xfId="0" applyFill="1" applyBorder="1" applyAlignment="1">
      <alignment/>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0" fillId="0" borderId="13" xfId="0" applyBorder="1" applyAlignment="1">
      <alignment/>
    </xf>
    <xf numFmtId="0" fontId="16" fillId="0" borderId="0" xfId="0" applyFont="1" applyFill="1" applyAlignment="1">
      <alignment/>
    </xf>
    <xf numFmtId="0" fontId="0" fillId="0" borderId="0" xfId="0" applyAlignment="1">
      <alignment/>
    </xf>
    <xf numFmtId="0" fontId="8" fillId="6" borderId="6" xfId="0" applyFont="1" applyFill="1" applyBorder="1" applyAlignment="1" applyProtection="1">
      <alignment/>
      <protection locked="0"/>
    </xf>
    <xf numFmtId="0" fontId="8" fillId="0" borderId="6" xfId="0" applyFont="1" applyBorder="1" applyAlignment="1">
      <alignment/>
    </xf>
    <xf numFmtId="0" fontId="8" fillId="0" borderId="6" xfId="0" applyFont="1" applyBorder="1" applyAlignment="1">
      <alignment horizontal="center"/>
    </xf>
    <xf numFmtId="0" fontId="8" fillId="7" borderId="6" xfId="0" applyFont="1" applyFill="1" applyBorder="1" applyAlignment="1">
      <alignment/>
    </xf>
    <xf numFmtId="0" fontId="8" fillId="8" borderId="6" xfId="0" applyFont="1" applyFill="1" applyBorder="1" applyAlignment="1">
      <alignment/>
    </xf>
    <xf numFmtId="3" fontId="8" fillId="6" borderId="6" xfId="0" applyNumberFormat="1" applyFont="1" applyFill="1" applyBorder="1" applyAlignment="1" applyProtection="1">
      <alignment/>
      <protection locked="0"/>
    </xf>
    <xf numFmtId="0" fontId="30" fillId="0" borderId="0" xfId="0" applyFont="1" applyFill="1" applyAlignment="1" applyProtection="1">
      <alignment horizontal="right" vertical="center"/>
      <protection/>
    </xf>
    <xf numFmtId="0" fontId="27" fillId="9" borderId="6" xfId="0" applyFont="1" applyFill="1" applyBorder="1" applyAlignment="1" applyProtection="1">
      <alignment/>
      <protection locked="0"/>
    </xf>
    <xf numFmtId="0" fontId="30" fillId="0" borderId="6" xfId="0" applyFont="1" applyFill="1" applyBorder="1" applyAlignment="1">
      <alignment/>
    </xf>
    <xf numFmtId="0" fontId="27" fillId="0" borderId="6" xfId="0" applyFont="1" applyFill="1" applyBorder="1" applyAlignment="1">
      <alignment/>
    </xf>
    <xf numFmtId="0" fontId="27" fillId="6" borderId="6" xfId="0" applyFont="1" applyFill="1" applyBorder="1" applyAlignment="1" applyProtection="1">
      <alignment/>
      <protection locked="0"/>
    </xf>
    <xf numFmtId="0" fontId="27" fillId="7" borderId="6" xfId="0" applyFont="1" applyFill="1" applyBorder="1" applyAlignment="1">
      <alignment/>
    </xf>
    <xf numFmtId="0" fontId="27" fillId="9" borderId="14" xfId="0" applyFont="1" applyFill="1" applyBorder="1" applyAlignment="1" applyProtection="1">
      <alignment/>
      <protection locked="0"/>
    </xf>
    <xf numFmtId="0" fontId="30" fillId="0" borderId="14" xfId="0" applyFont="1" applyFill="1" applyBorder="1" applyAlignment="1">
      <alignment/>
    </xf>
    <xf numFmtId="0" fontId="27" fillId="0" borderId="14" xfId="0" applyFont="1" applyFill="1" applyBorder="1" applyAlignment="1">
      <alignment/>
    </xf>
    <xf numFmtId="0" fontId="27" fillId="6" borderId="14" xfId="0" applyFont="1" applyFill="1" applyBorder="1" applyAlignment="1" applyProtection="1">
      <alignment/>
      <protection locked="0"/>
    </xf>
    <xf numFmtId="0" fontId="27" fillId="9" borderId="15" xfId="0" applyFont="1" applyFill="1" applyBorder="1" applyAlignment="1" applyProtection="1">
      <alignment/>
      <protection locked="0"/>
    </xf>
    <xf numFmtId="0" fontId="30" fillId="0" borderId="15" xfId="0" applyFont="1" applyFill="1" applyBorder="1" applyAlignment="1">
      <alignment/>
    </xf>
    <xf numFmtId="0" fontId="27" fillId="0" borderId="15" xfId="0" applyFont="1" applyFill="1" applyBorder="1" applyAlignment="1">
      <alignment/>
    </xf>
    <xf numFmtId="0" fontId="27" fillId="6" borderId="15" xfId="0" applyFont="1" applyFill="1" applyBorder="1" applyAlignment="1" applyProtection="1">
      <alignment/>
      <protection locked="0"/>
    </xf>
    <xf numFmtId="0" fontId="27" fillId="6" borderId="10" xfId="0" applyFont="1" applyFill="1" applyBorder="1" applyAlignment="1" applyProtection="1">
      <alignment/>
      <protection locked="0"/>
    </xf>
    <xf numFmtId="0" fontId="27" fillId="9" borderId="9" xfId="0" applyFont="1" applyFill="1" applyBorder="1" applyAlignment="1" applyProtection="1">
      <alignment/>
      <protection locked="0"/>
    </xf>
    <xf numFmtId="0" fontId="27" fillId="6" borderId="3" xfId="0" applyFont="1" applyFill="1" applyBorder="1" applyAlignment="1" applyProtection="1">
      <alignment/>
      <protection locked="0"/>
    </xf>
    <xf numFmtId="0" fontId="27" fillId="9" borderId="0" xfId="0" applyFont="1" applyFill="1" applyBorder="1" applyAlignment="1" applyProtection="1">
      <alignment/>
      <protection locked="0"/>
    </xf>
    <xf numFmtId="0" fontId="27" fillId="9" borderId="16" xfId="0" applyFont="1" applyFill="1" applyBorder="1" applyAlignment="1" applyProtection="1">
      <alignment/>
      <protection locked="0"/>
    </xf>
    <xf numFmtId="0" fontId="30" fillId="6" borderId="16" xfId="0" applyFont="1" applyFill="1" applyBorder="1" applyAlignment="1" applyProtection="1">
      <alignment/>
      <protection locked="0"/>
    </xf>
    <xf numFmtId="0" fontId="27" fillId="0" borderId="16" xfId="0" applyFont="1" applyFill="1" applyBorder="1" applyAlignment="1" applyProtection="1">
      <alignment/>
      <protection locked="0"/>
    </xf>
    <xf numFmtId="192" fontId="27" fillId="7" borderId="11" xfId="0" applyNumberFormat="1" applyFont="1" applyFill="1" applyBorder="1" applyAlignment="1" applyProtection="1">
      <alignment/>
      <protection locked="0"/>
    </xf>
    <xf numFmtId="0" fontId="27" fillId="6" borderId="16" xfId="0" applyFont="1" applyFill="1" applyBorder="1" applyAlignment="1" applyProtection="1">
      <alignment/>
      <protection locked="0"/>
    </xf>
    <xf numFmtId="0" fontId="27" fillId="6" borderId="11" xfId="0" applyFont="1" applyFill="1" applyBorder="1" applyAlignment="1" applyProtection="1">
      <alignment/>
      <protection locked="0"/>
    </xf>
    <xf numFmtId="0" fontId="27" fillId="0" borderId="16" xfId="0" applyFont="1" applyFill="1" applyBorder="1" applyAlignment="1">
      <alignment/>
    </xf>
    <xf numFmtId="0" fontId="27" fillId="9" borderId="0" xfId="0" applyFont="1" applyFill="1" applyBorder="1" applyAlignment="1">
      <alignment/>
    </xf>
    <xf numFmtId="0" fontId="30" fillId="0" borderId="0" xfId="0" applyFont="1" applyFill="1" applyBorder="1" applyAlignment="1" applyProtection="1">
      <alignment horizontal="right" vertical="center"/>
      <protection/>
    </xf>
    <xf numFmtId="189" fontId="27" fillId="8" borderId="6" xfId="0" applyNumberFormat="1" applyFont="1" applyFill="1" applyBorder="1" applyAlignment="1">
      <alignment/>
    </xf>
    <xf numFmtId="189" fontId="27" fillId="8" borderId="14" xfId="0" applyNumberFormat="1" applyFont="1" applyFill="1" applyBorder="1" applyAlignment="1">
      <alignment/>
    </xf>
    <xf numFmtId="189" fontId="27" fillId="8" borderId="15" xfId="0" applyNumberFormat="1" applyFont="1" applyFill="1" applyBorder="1" applyAlignment="1">
      <alignment/>
    </xf>
    <xf numFmtId="189" fontId="27" fillId="8" borderId="16" xfId="0" applyNumberFormat="1" applyFont="1" applyFill="1" applyBorder="1" applyAlignment="1">
      <alignment/>
    </xf>
    <xf numFmtId="189" fontId="8" fillId="0" borderId="0" xfId="0" applyNumberFormat="1" applyFont="1" applyFill="1" applyAlignment="1">
      <alignment/>
    </xf>
    <xf numFmtId="189" fontId="8" fillId="0" borderId="0" xfId="0" applyNumberFormat="1" applyFont="1" applyFill="1" applyAlignment="1">
      <alignment/>
    </xf>
    <xf numFmtId="0" fontId="31" fillId="0" borderId="0" xfId="0" applyFont="1" applyFill="1" applyAlignment="1">
      <alignment/>
    </xf>
    <xf numFmtId="0" fontId="31" fillId="0" borderId="0" xfId="0" applyFont="1" applyFill="1" applyAlignment="1">
      <alignment/>
    </xf>
    <xf numFmtId="0" fontId="30" fillId="6" borderId="0" xfId="0" applyFont="1" applyFill="1" applyBorder="1" applyAlignment="1">
      <alignment/>
    </xf>
    <xf numFmtId="192" fontId="27" fillId="6" borderId="0" xfId="0" applyNumberFormat="1" applyFont="1" applyFill="1" applyBorder="1" applyAlignment="1">
      <alignment/>
    </xf>
    <xf numFmtId="0" fontId="27" fillId="6" borderId="0" xfId="0" applyFont="1" applyFill="1" applyBorder="1" applyAlignment="1">
      <alignment/>
    </xf>
    <xf numFmtId="189" fontId="27" fillId="8" borderId="17" xfId="0" applyNumberFormat="1" applyFont="1" applyFill="1" applyBorder="1" applyAlignment="1">
      <alignment/>
    </xf>
    <xf numFmtId="0" fontId="34" fillId="0" borderId="0" xfId="0" applyFont="1" applyFill="1" applyAlignment="1">
      <alignment/>
    </xf>
    <xf numFmtId="0" fontId="30" fillId="0" borderId="18" xfId="0" applyFont="1" applyFill="1" applyBorder="1" applyAlignment="1" applyProtection="1">
      <alignment horizontal="right" vertical="center"/>
      <protection/>
    </xf>
    <xf numFmtId="0" fontId="35" fillId="5" borderId="0" xfId="0" applyFont="1" applyFill="1" applyAlignment="1">
      <alignment/>
    </xf>
    <xf numFmtId="189" fontId="35" fillId="5" borderId="0" xfId="0" applyNumberFormat="1" applyFont="1" applyFill="1" applyAlignment="1">
      <alignment/>
    </xf>
    <xf numFmtId="0" fontId="0" fillId="5" borderId="0" xfId="0" applyFill="1" applyAlignment="1">
      <alignment/>
    </xf>
    <xf numFmtId="0" fontId="0" fillId="0" borderId="0" xfId="0" applyFill="1" applyBorder="1" applyAlignment="1">
      <alignment/>
    </xf>
    <xf numFmtId="0" fontId="19"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left" wrapText="1"/>
    </xf>
    <xf numFmtId="0" fontId="0" fillId="0" borderId="0" xfId="0" applyFill="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ill="1" applyAlignment="1">
      <alignment horizontal="center"/>
    </xf>
    <xf numFmtId="0" fontId="0" fillId="0" borderId="0" xfId="0" applyFill="1" applyAlignment="1">
      <alignment horizontal="center" vertical="top"/>
    </xf>
    <xf numFmtId="0" fontId="0" fillId="6" borderId="9" xfId="0" applyFont="1" applyFill="1" applyBorder="1" applyAlignment="1">
      <alignment vertical="center"/>
    </xf>
    <xf numFmtId="0" fontId="0" fillId="6" borderId="10" xfId="0" applyFont="1" applyFill="1" applyBorder="1" applyAlignment="1">
      <alignment vertical="center"/>
    </xf>
    <xf numFmtId="0" fontId="0" fillId="8" borderId="9" xfId="0" applyFill="1" applyBorder="1" applyAlignment="1">
      <alignment vertical="center"/>
    </xf>
    <xf numFmtId="0" fontId="0" fillId="8" borderId="10" xfId="0" applyFill="1" applyBorder="1" applyAlignment="1">
      <alignment vertical="center"/>
    </xf>
    <xf numFmtId="0" fontId="0" fillId="7" borderId="9" xfId="0" applyFill="1" applyBorder="1" applyAlignment="1">
      <alignment vertical="center"/>
    </xf>
    <xf numFmtId="0" fontId="0" fillId="7" borderId="10" xfId="0" applyFill="1" applyBorder="1" applyAlignment="1">
      <alignment vertical="center"/>
    </xf>
    <xf numFmtId="4" fontId="0" fillId="0" borderId="0" xfId="0" applyNumberFormat="1" applyBorder="1" applyAlignment="1" quotePrefix="1">
      <alignment vertical="top"/>
    </xf>
    <xf numFmtId="191" fontId="0" fillId="0" borderId="0" xfId="0" applyNumberFormat="1" applyFont="1" applyBorder="1" applyAlignment="1">
      <alignment vertical="top"/>
    </xf>
    <xf numFmtId="191" fontId="0" fillId="0" borderId="0" xfId="0" applyNumberFormat="1" applyBorder="1" applyAlignment="1">
      <alignment vertical="top"/>
    </xf>
    <xf numFmtId="0" fontId="0" fillId="0" borderId="9" xfId="0" applyBorder="1" applyAlignment="1">
      <alignment/>
    </xf>
    <xf numFmtId="0" fontId="0" fillId="0" borderId="3" xfId="0" applyBorder="1" applyAlignment="1">
      <alignment/>
    </xf>
    <xf numFmtId="0" fontId="0" fillId="0" borderId="10" xfId="0" applyBorder="1" applyAlignment="1">
      <alignment/>
    </xf>
    <xf numFmtId="0" fontId="0" fillId="0" borderId="19" xfId="0" applyBorder="1" applyAlignment="1">
      <alignment/>
    </xf>
    <xf numFmtId="0" fontId="0" fillId="0" borderId="0" xfId="0" applyBorder="1" applyAlignment="1" quotePrefix="1">
      <alignment/>
    </xf>
    <xf numFmtId="191" fontId="0" fillId="0" borderId="0" xfId="0" applyNumberFormat="1" applyBorder="1" applyAlignment="1">
      <alignment/>
    </xf>
    <xf numFmtId="0" fontId="0" fillId="0" borderId="19" xfId="0" applyFont="1" applyBorder="1" applyAlignment="1">
      <alignment/>
    </xf>
    <xf numFmtId="0" fontId="0" fillId="0" borderId="0" xfId="0" applyFont="1" applyBorder="1" applyAlignment="1">
      <alignment/>
    </xf>
    <xf numFmtId="2" fontId="37" fillId="0" borderId="0" xfId="0" applyNumberFormat="1" applyFont="1" applyFill="1" applyBorder="1" applyAlignment="1">
      <alignment/>
    </xf>
    <xf numFmtId="0" fontId="8" fillId="0" borderId="0" xfId="0" applyFont="1" applyFill="1" applyBorder="1" applyAlignment="1">
      <alignment/>
    </xf>
    <xf numFmtId="0" fontId="31" fillId="0" borderId="0" xfId="0" applyFont="1" applyFill="1" applyBorder="1" applyAlignment="1">
      <alignment/>
    </xf>
    <xf numFmtId="0" fontId="27" fillId="0" borderId="0" xfId="0" applyFont="1" applyFill="1" applyBorder="1" applyAlignment="1">
      <alignment/>
    </xf>
    <xf numFmtId="0" fontId="0" fillId="0" borderId="0" xfId="0" applyFill="1" applyAlignment="1">
      <alignment horizontal="left" vertical="center"/>
    </xf>
    <xf numFmtId="0" fontId="24" fillId="5" borderId="18" xfId="0" applyFont="1" applyFill="1" applyBorder="1" applyAlignment="1" applyProtection="1">
      <alignment horizontal="right" vertical="center"/>
      <protection/>
    </xf>
    <xf numFmtId="0" fontId="25" fillId="5" borderId="20" xfId="0" applyFont="1" applyFill="1" applyBorder="1" applyAlignment="1">
      <alignment vertical="center"/>
    </xf>
    <xf numFmtId="0" fontId="24" fillId="5" borderId="20" xfId="0" applyFont="1" applyFill="1" applyBorder="1" applyAlignment="1" applyProtection="1">
      <alignment horizontal="right" vertical="center"/>
      <protection/>
    </xf>
    <xf numFmtId="0" fontId="23" fillId="5" borderId="20" xfId="0" applyFont="1" applyFill="1" applyBorder="1" applyAlignment="1">
      <alignment vertical="center"/>
    </xf>
    <xf numFmtId="0" fontId="25" fillId="5" borderId="20" xfId="0" applyFont="1" applyFill="1" applyBorder="1" applyAlignment="1">
      <alignment horizontal="center" vertical="center"/>
    </xf>
    <xf numFmtId="0" fontId="22" fillId="5" borderId="18" xfId="0" applyFont="1" applyFill="1" applyBorder="1" applyAlignment="1">
      <alignment vertical="center"/>
    </xf>
    <xf numFmtId="0" fontId="23" fillId="5" borderId="18" xfId="0" applyFont="1" applyFill="1" applyBorder="1" applyAlignment="1">
      <alignment vertical="center"/>
    </xf>
    <xf numFmtId="192" fontId="22" fillId="5" borderId="18" xfId="0" applyNumberFormat="1" applyFont="1" applyFill="1" applyBorder="1" applyAlignment="1">
      <alignment vertical="center"/>
    </xf>
    <xf numFmtId="1" fontId="22" fillId="5" borderId="18" xfId="0" applyNumberFormat="1" applyFont="1" applyFill="1" applyBorder="1" applyAlignment="1">
      <alignment vertical="center"/>
    </xf>
    <xf numFmtId="189" fontId="21" fillId="5" borderId="18" xfId="0" applyNumberFormat="1" applyFont="1" applyFill="1" applyBorder="1" applyAlignment="1">
      <alignment vertical="center"/>
    </xf>
    <xf numFmtId="0" fontId="25" fillId="5" borderId="18" xfId="0" applyFont="1" applyFill="1" applyBorder="1" applyAlignment="1">
      <alignment vertical="center"/>
    </xf>
    <xf numFmtId="0" fontId="21" fillId="5" borderId="21" xfId="0" applyFont="1" applyFill="1" applyBorder="1" applyAlignment="1">
      <alignment horizontal="left"/>
    </xf>
    <xf numFmtId="3" fontId="22" fillId="5" borderId="22" xfId="0" applyNumberFormat="1" applyFont="1" applyFill="1" applyBorder="1" applyAlignment="1">
      <alignment/>
    </xf>
    <xf numFmtId="0" fontId="29" fillId="0" borderId="0" xfId="0" applyFont="1" applyFill="1" applyBorder="1" applyAlignment="1">
      <alignment vertical="top"/>
    </xf>
    <xf numFmtId="0" fontId="26" fillId="0" borderId="0" xfId="0" applyFont="1" applyFill="1" applyBorder="1" applyAlignment="1">
      <alignment vertical="top"/>
    </xf>
    <xf numFmtId="0" fontId="29" fillId="0" borderId="0" xfId="0" applyFont="1" applyFill="1" applyBorder="1" applyAlignment="1">
      <alignment vertical="center"/>
    </xf>
    <xf numFmtId="0" fontId="38" fillId="0" borderId="0" xfId="0" applyFont="1" applyFill="1" applyBorder="1" applyAlignment="1">
      <alignment vertical="top"/>
    </xf>
    <xf numFmtId="0" fontId="40" fillId="5" borderId="0" xfId="0" applyFont="1" applyFill="1" applyBorder="1" applyAlignment="1">
      <alignment/>
    </xf>
    <xf numFmtId="0" fontId="39" fillId="5" borderId="0" xfId="0" applyFont="1" applyFill="1" applyBorder="1" applyAlignment="1">
      <alignment/>
    </xf>
    <xf numFmtId="0" fontId="41" fillId="5" borderId="0" xfId="0" applyFont="1" applyFill="1" applyBorder="1" applyAlignment="1">
      <alignment/>
    </xf>
    <xf numFmtId="0" fontId="39" fillId="5" borderId="0" xfId="0" applyFont="1" applyFill="1" applyBorder="1" applyAlignment="1">
      <alignment vertical="top"/>
    </xf>
    <xf numFmtId="0" fontId="41" fillId="5" borderId="0" xfId="0" applyFont="1" applyFill="1" applyBorder="1" applyAlignment="1">
      <alignment vertical="top"/>
    </xf>
    <xf numFmtId="0" fontId="35" fillId="5" borderId="0" xfId="0" applyFont="1" applyFill="1" applyBorder="1" applyAlignment="1">
      <alignment/>
    </xf>
    <xf numFmtId="189" fontId="35" fillId="5" borderId="0" xfId="0" applyNumberFormat="1" applyFont="1" applyFill="1" applyBorder="1" applyAlignment="1">
      <alignment/>
    </xf>
    <xf numFmtId="0" fontId="42" fillId="5" borderId="0" xfId="0" applyFont="1" applyFill="1" applyBorder="1" applyAlignment="1">
      <alignment/>
    </xf>
    <xf numFmtId="0" fontId="42" fillId="0" borderId="0" xfId="0" applyFont="1" applyFill="1" applyBorder="1" applyAlignment="1">
      <alignment/>
    </xf>
    <xf numFmtId="0" fontId="0" fillId="5" borderId="0" xfId="0" applyFill="1" applyBorder="1" applyAlignment="1">
      <alignment/>
    </xf>
    <xf numFmtId="0" fontId="0" fillId="5" borderId="0" xfId="0" applyFill="1" applyBorder="1" applyAlignment="1">
      <alignment/>
    </xf>
    <xf numFmtId="0" fontId="41" fillId="5" borderId="23" xfId="0" applyFont="1" applyFill="1" applyBorder="1" applyAlignment="1">
      <alignment/>
    </xf>
    <xf numFmtId="0" fontId="40" fillId="5" borderId="23" xfId="0" applyFont="1" applyFill="1" applyBorder="1" applyAlignment="1">
      <alignment/>
    </xf>
    <xf numFmtId="0" fontId="41" fillId="5" borderId="23" xfId="0" applyFont="1" applyFill="1" applyBorder="1" applyAlignment="1">
      <alignment/>
    </xf>
    <xf numFmtId="0" fontId="45" fillId="5" borderId="18" xfId="0" applyFont="1" applyFill="1" applyBorder="1" applyAlignment="1" applyProtection="1">
      <alignment horizontal="right" vertical="center"/>
      <protection/>
    </xf>
    <xf numFmtId="0" fontId="41" fillId="5" borderId="0" xfId="0" applyFont="1" applyFill="1" applyAlignment="1">
      <alignment/>
    </xf>
    <xf numFmtId="0" fontId="41" fillId="5" borderId="0" xfId="0" applyFont="1" applyFill="1" applyAlignment="1">
      <alignment horizontal="left"/>
    </xf>
    <xf numFmtId="0" fontId="41" fillId="5" borderId="0" xfId="0" applyFont="1" applyFill="1" applyAlignment="1">
      <alignment horizontal="left" wrapText="1"/>
    </xf>
    <xf numFmtId="0" fontId="41" fillId="5" borderId="0" xfId="0" applyFont="1" applyFill="1" applyAlignment="1">
      <alignment vertical="center"/>
    </xf>
    <xf numFmtId="0" fontId="41" fillId="5" borderId="0" xfId="0" applyFont="1" applyFill="1" applyAlignment="1">
      <alignment horizontal="left" vertical="center"/>
    </xf>
    <xf numFmtId="0" fontId="41" fillId="5" borderId="0" xfId="0" applyFont="1" applyFill="1" applyAlignment="1">
      <alignment horizontal="left" vertical="center" wrapText="1"/>
    </xf>
    <xf numFmtId="0" fontId="42" fillId="5" borderId="0" xfId="0" applyFont="1" applyFill="1" applyAlignment="1">
      <alignment vertical="top"/>
    </xf>
    <xf numFmtId="0" fontId="43" fillId="5" borderId="0" xfId="0" applyFont="1" applyFill="1" applyBorder="1" applyAlignment="1">
      <alignment vertical="top"/>
    </xf>
    <xf numFmtId="0" fontId="42" fillId="5" borderId="0" xfId="0" applyFont="1" applyFill="1" applyBorder="1" applyAlignment="1">
      <alignment vertical="top"/>
    </xf>
    <xf numFmtId="189" fontId="42" fillId="5" borderId="0" xfId="0" applyNumberFormat="1" applyFont="1" applyFill="1" applyBorder="1" applyAlignment="1">
      <alignment vertical="top"/>
    </xf>
    <xf numFmtId="0" fontId="42" fillId="0" borderId="0" xfId="0" applyFont="1" applyFill="1" applyAlignment="1">
      <alignment vertical="top"/>
    </xf>
    <xf numFmtId="0" fontId="40" fillId="5" borderId="0" xfId="0" applyFont="1" applyFill="1" applyBorder="1" applyAlignment="1">
      <alignment horizontal="left"/>
    </xf>
    <xf numFmtId="0" fontId="44" fillId="5" borderId="0" xfId="0" applyFont="1" applyFill="1" applyBorder="1" applyAlignment="1">
      <alignment horizontal="left"/>
    </xf>
    <xf numFmtId="189" fontId="39" fillId="5" borderId="0" xfId="0" applyNumberFormat="1" applyFont="1" applyFill="1" applyBorder="1" applyAlignment="1">
      <alignment/>
    </xf>
    <xf numFmtId="0" fontId="41" fillId="5" borderId="0" xfId="0" applyFont="1" applyFill="1" applyBorder="1" applyAlignment="1">
      <alignment/>
    </xf>
    <xf numFmtId="0" fontId="46" fillId="0" borderId="0" xfId="0" applyFont="1" applyAlignment="1">
      <alignment vertical="top"/>
    </xf>
    <xf numFmtId="0" fontId="0" fillId="0" borderId="24" xfId="0" applyBorder="1" applyAlignment="1">
      <alignment/>
    </xf>
    <xf numFmtId="0" fontId="47" fillId="0" borderId="25" xfId="0" applyFont="1" applyBorder="1" applyAlignment="1">
      <alignment vertical="center"/>
    </xf>
    <xf numFmtId="0" fontId="0" fillId="0" borderId="0" xfId="0" applyBorder="1" applyAlignment="1">
      <alignment vertical="center"/>
    </xf>
    <xf numFmtId="0" fontId="0" fillId="0" borderId="26" xfId="0" applyBorder="1" applyAlignment="1">
      <alignment/>
    </xf>
    <xf numFmtId="0" fontId="0" fillId="0" borderId="27" xfId="0" applyBorder="1" applyAlignment="1">
      <alignment vertical="center"/>
    </xf>
    <xf numFmtId="0" fontId="0" fillId="0" borderId="28" xfId="0" applyBorder="1" applyAlignment="1">
      <alignment/>
    </xf>
    <xf numFmtId="0" fontId="2" fillId="0" borderId="0" xfId="0" applyFont="1" applyFill="1" applyAlignment="1">
      <alignment/>
    </xf>
    <xf numFmtId="0" fontId="30" fillId="0" borderId="0" xfId="0" applyFont="1" applyFill="1" applyBorder="1" applyAlignment="1">
      <alignment horizontal="right" vertical="center"/>
    </xf>
    <xf numFmtId="0" fontId="29" fillId="0" borderId="0" xfId="0" applyFont="1" applyFill="1" applyBorder="1" applyAlignment="1">
      <alignment horizontal="centerContinuous" vertical="center"/>
    </xf>
    <xf numFmtId="0" fontId="0" fillId="0" borderId="26" xfId="0" applyBorder="1" applyAlignment="1">
      <alignment/>
    </xf>
    <xf numFmtId="0" fontId="0" fillId="0" borderId="25" xfId="0" applyBorder="1" applyAlignment="1">
      <alignment/>
    </xf>
    <xf numFmtId="189" fontId="0" fillId="0" borderId="24" xfId="0" applyNumberFormat="1" applyBorder="1" applyAlignment="1">
      <alignment/>
    </xf>
    <xf numFmtId="0" fontId="0" fillId="0" borderId="29" xfId="0" applyBorder="1" applyAlignment="1">
      <alignment/>
    </xf>
    <xf numFmtId="0" fontId="0" fillId="0" borderId="30" xfId="0" applyBorder="1" applyAlignment="1">
      <alignment/>
    </xf>
    <xf numFmtId="189" fontId="0" fillId="0" borderId="30" xfId="0" applyNumberFormat="1" applyBorder="1" applyAlignment="1">
      <alignment/>
    </xf>
    <xf numFmtId="0" fontId="0" fillId="0" borderId="29" xfId="0" applyFill="1" applyBorder="1" applyAlignment="1">
      <alignment/>
    </xf>
    <xf numFmtId="0" fontId="0" fillId="0" borderId="30" xfId="0" applyFill="1" applyBorder="1" applyAlignment="1">
      <alignment/>
    </xf>
    <xf numFmtId="189" fontId="0" fillId="0" borderId="30" xfId="0" applyNumberFormat="1" applyFill="1" applyBorder="1" applyAlignment="1">
      <alignment/>
    </xf>
    <xf numFmtId="0" fontId="47" fillId="0" borderId="31" xfId="0" applyFont="1" applyBorder="1" applyAlignment="1">
      <alignment/>
    </xf>
    <xf numFmtId="0" fontId="0" fillId="0" borderId="32" xfId="0" applyBorder="1" applyAlignment="1">
      <alignment vertical="center"/>
    </xf>
    <xf numFmtId="0" fontId="0" fillId="0" borderId="31" xfId="0" applyBorder="1" applyAlignment="1">
      <alignment/>
    </xf>
    <xf numFmtId="0" fontId="0" fillId="0" borderId="32" xfId="0" applyBorder="1" applyAlignment="1">
      <alignment/>
    </xf>
    <xf numFmtId="189" fontId="0" fillId="0" borderId="32" xfId="0" applyNumberFormat="1" applyBorder="1" applyAlignment="1">
      <alignment/>
    </xf>
    <xf numFmtId="0" fontId="47" fillId="0" borderId="31" xfId="0" applyFont="1" applyBorder="1" applyAlignment="1">
      <alignment/>
    </xf>
    <xf numFmtId="0" fontId="2" fillId="0" borderId="32" xfId="0" applyFont="1" applyBorder="1" applyAlignment="1">
      <alignment/>
    </xf>
    <xf numFmtId="0" fontId="47" fillId="0" borderId="31" xfId="0" applyFont="1" applyBorder="1" applyAlignment="1">
      <alignment vertical="center"/>
    </xf>
    <xf numFmtId="0" fontId="2" fillId="0" borderId="0" xfId="0" applyFont="1" applyAlignment="1">
      <alignment/>
    </xf>
    <xf numFmtId="191" fontId="0" fillId="0" borderId="0" xfId="0" applyNumberFormat="1" applyAlignment="1">
      <alignment horizontal="left"/>
    </xf>
    <xf numFmtId="0" fontId="0" fillId="0" borderId="7" xfId="0" applyBorder="1" applyAlignment="1">
      <alignment/>
    </xf>
    <xf numFmtId="0" fontId="2" fillId="0" borderId="11" xfId="0" applyFont="1" applyBorder="1" applyAlignment="1">
      <alignment horizontal="centerContinuous"/>
    </xf>
    <xf numFmtId="191" fontId="0" fillId="0" borderId="11" xfId="0" applyNumberFormat="1" applyBorder="1" applyAlignment="1">
      <alignment horizontal="left"/>
    </xf>
    <xf numFmtId="0" fontId="0" fillId="0" borderId="8" xfId="0" applyBorder="1" applyAlignment="1">
      <alignment/>
    </xf>
    <xf numFmtId="0" fontId="0" fillId="0" borderId="0" xfId="0" applyBorder="1" applyAlignment="1">
      <alignment horizontal="right"/>
    </xf>
    <xf numFmtId="191" fontId="0" fillId="0" borderId="0" xfId="0" applyNumberFormat="1" applyBorder="1" applyAlignment="1">
      <alignment horizontal="left"/>
    </xf>
    <xf numFmtId="9" fontId="0" fillId="0" borderId="0" xfId="0" applyNumberFormat="1" applyBorder="1" applyAlignment="1">
      <alignment/>
    </xf>
    <xf numFmtId="191" fontId="0" fillId="0" borderId="6" xfId="0" applyNumberFormat="1" applyBorder="1" applyAlignment="1">
      <alignment/>
    </xf>
    <xf numFmtId="0" fontId="2" fillId="0" borderId="19" xfId="0" applyFont="1" applyBorder="1" applyAlignment="1">
      <alignment horizontal="center" vertical="center" textRotation="90" wrapText="1"/>
    </xf>
    <xf numFmtId="9" fontId="18" fillId="0" borderId="0" xfId="0" applyNumberFormat="1" applyFont="1" applyBorder="1" applyAlignment="1">
      <alignment/>
    </xf>
    <xf numFmtId="0" fontId="8" fillId="0" borderId="0" xfId="0" applyFont="1" applyBorder="1" applyAlignment="1">
      <alignment/>
    </xf>
    <xf numFmtId="0" fontId="51" fillId="0" borderId="0" xfId="0" applyFont="1" applyBorder="1" applyAlignment="1">
      <alignment/>
    </xf>
    <xf numFmtId="0" fontId="50" fillId="0" borderId="0" xfId="0" applyFont="1" applyBorder="1" applyAlignment="1">
      <alignment/>
    </xf>
    <xf numFmtId="191" fontId="0" fillId="0" borderId="3" xfId="0" applyNumberFormat="1" applyBorder="1" applyAlignment="1">
      <alignment horizontal="left"/>
    </xf>
    <xf numFmtId="0" fontId="0" fillId="0" borderId="0" xfId="0" applyAlignment="1">
      <alignment horizontal="left"/>
    </xf>
    <xf numFmtId="0" fontId="0" fillId="5" borderId="20" xfId="0" applyFill="1" applyBorder="1" applyAlignment="1">
      <alignment vertical="center"/>
    </xf>
    <xf numFmtId="0" fontId="23" fillId="5" borderId="33" xfId="0" applyFont="1" applyFill="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6" xfId="0" applyFill="1" applyBorder="1" applyAlignment="1">
      <alignment horizontal="center"/>
    </xf>
    <xf numFmtId="0" fontId="25" fillId="0" borderId="20" xfId="0" applyFont="1" applyFill="1" applyBorder="1" applyAlignment="1">
      <alignment vertical="center"/>
    </xf>
    <xf numFmtId="0" fontId="24" fillId="0" borderId="20" xfId="0" applyFont="1" applyFill="1" applyBorder="1" applyAlignment="1" applyProtection="1">
      <alignment horizontal="right" vertical="center"/>
      <protection/>
    </xf>
    <xf numFmtId="0" fontId="25" fillId="0" borderId="37" xfId="0" applyFont="1" applyFill="1" applyBorder="1" applyAlignment="1">
      <alignment vertical="center"/>
    </xf>
    <xf numFmtId="0" fontId="0" fillId="9" borderId="15" xfId="0" applyFont="1" applyFill="1" applyBorder="1" applyAlignment="1">
      <alignment vertical="center"/>
    </xf>
    <xf numFmtId="0" fontId="0" fillId="6" borderId="19" xfId="0" applyFont="1" applyFill="1" applyBorder="1" applyAlignment="1">
      <alignment vertical="center"/>
    </xf>
    <xf numFmtId="0" fontId="0" fillId="6" borderId="13" xfId="0" applyFont="1" applyFill="1" applyBorder="1" applyAlignment="1">
      <alignment vertical="center"/>
    </xf>
    <xf numFmtId="0" fontId="0" fillId="8" borderId="19" xfId="0" applyFill="1" applyBorder="1" applyAlignment="1">
      <alignment vertical="center"/>
    </xf>
    <xf numFmtId="0" fontId="0" fillId="8" borderId="13" xfId="0" applyFill="1" applyBorder="1" applyAlignment="1">
      <alignment vertical="center"/>
    </xf>
    <xf numFmtId="0" fontId="0" fillId="7" borderId="19" xfId="0" applyFill="1" applyBorder="1" applyAlignment="1">
      <alignment vertical="center"/>
    </xf>
    <xf numFmtId="0" fontId="0" fillId="7" borderId="13" xfId="0" applyFill="1" applyBorder="1" applyAlignment="1">
      <alignment vertical="center"/>
    </xf>
    <xf numFmtId="0" fontId="30" fillId="5" borderId="20" xfId="0" applyFont="1" applyFill="1" applyBorder="1" applyAlignment="1" applyProtection="1">
      <alignment horizontal="right" vertical="center"/>
      <protection/>
    </xf>
    <xf numFmtId="0" fontId="0" fillId="5" borderId="20" xfId="0" applyFill="1" applyBorder="1" applyAlignment="1">
      <alignment/>
    </xf>
    <xf numFmtId="0" fontId="39" fillId="5" borderId="38" xfId="0" applyFont="1" applyFill="1" applyBorder="1" applyAlignment="1">
      <alignment/>
    </xf>
    <xf numFmtId="0" fontId="0" fillId="5" borderId="38" xfId="0" applyFill="1" applyBorder="1" applyAlignment="1">
      <alignment/>
    </xf>
    <xf numFmtId="0" fontId="40" fillId="5" borderId="38" xfId="0" applyFont="1" applyFill="1" applyBorder="1" applyAlignment="1">
      <alignment/>
    </xf>
    <xf numFmtId="0" fontId="0" fillId="5" borderId="0" xfId="0" applyFill="1" applyBorder="1" applyAlignment="1">
      <alignment horizontal="center"/>
    </xf>
    <xf numFmtId="0" fontId="23" fillId="5" borderId="0" xfId="0" applyFont="1" applyFill="1" applyAlignment="1">
      <alignment vertical="center"/>
    </xf>
    <xf numFmtId="0" fontId="35" fillId="0" borderId="0" xfId="0" applyFont="1" applyFill="1" applyAlignment="1">
      <alignment/>
    </xf>
    <xf numFmtId="0" fontId="35" fillId="0" borderId="0" xfId="0" applyFont="1" applyFill="1" applyBorder="1" applyAlignment="1">
      <alignment/>
    </xf>
    <xf numFmtId="0" fontId="22" fillId="0" borderId="18" xfId="0" applyFont="1" applyFill="1" applyBorder="1" applyAlignment="1">
      <alignment vertical="center"/>
    </xf>
    <xf numFmtId="2" fontId="0" fillId="0" borderId="0" xfId="0" applyNumberFormat="1" applyFont="1" applyBorder="1" applyAlignment="1">
      <alignment vertical="top"/>
    </xf>
    <xf numFmtId="204" fontId="0" fillId="0" borderId="0" xfId="16" applyNumberFormat="1" applyFont="1" applyBorder="1" applyAlignment="1">
      <alignment vertical="top"/>
    </xf>
    <xf numFmtId="0" fontId="43" fillId="5" borderId="0" xfId="0" applyFont="1" applyFill="1" applyAlignment="1">
      <alignment vertical="top"/>
    </xf>
    <xf numFmtId="0" fontId="19" fillId="0" borderId="0" xfId="0" applyFont="1" applyBorder="1" applyAlignment="1">
      <alignment vertical="center"/>
    </xf>
    <xf numFmtId="0" fontId="0" fillId="10" borderId="0" xfId="0" applyFill="1" applyAlignment="1">
      <alignment/>
    </xf>
    <xf numFmtId="0" fontId="7" fillId="10" borderId="0" xfId="0" applyFont="1" applyFill="1" applyAlignment="1">
      <alignment horizontal="center"/>
    </xf>
    <xf numFmtId="0" fontId="7" fillId="10" borderId="3" xfId="0" applyFont="1" applyFill="1" applyBorder="1" applyAlignment="1">
      <alignment horizontal="center"/>
    </xf>
    <xf numFmtId="0" fontId="8" fillId="10" borderId="0" xfId="0" applyFont="1" applyFill="1" applyAlignment="1">
      <alignment/>
    </xf>
    <xf numFmtId="0" fontId="7" fillId="10" borderId="39" xfId="0" applyFont="1" applyFill="1" applyBorder="1" applyAlignment="1">
      <alignment horizontal="centerContinuous"/>
    </xf>
    <xf numFmtId="0" fontId="7" fillId="10" borderId="40" xfId="0" applyFont="1" applyFill="1" applyBorder="1" applyAlignment="1">
      <alignment horizontal="centerContinuous"/>
    </xf>
    <xf numFmtId="0" fontId="7" fillId="10" borderId="6" xfId="0" applyFont="1" applyFill="1" applyBorder="1" applyAlignment="1">
      <alignment horizontal="center"/>
    </xf>
    <xf numFmtId="0" fontId="7" fillId="10" borderId="19" xfId="0" applyFont="1" applyFill="1" applyBorder="1" applyAlignment="1">
      <alignment/>
    </xf>
    <xf numFmtId="0" fontId="8" fillId="10" borderId="0" xfId="0" applyFont="1" applyFill="1" applyBorder="1" applyAlignment="1">
      <alignment horizontal="center"/>
    </xf>
    <xf numFmtId="0" fontId="8" fillId="10" borderId="13" xfId="0" applyFont="1" applyFill="1" applyBorder="1" applyAlignment="1">
      <alignment/>
    </xf>
    <xf numFmtId="0" fontId="7" fillId="10" borderId="6" xfId="0" applyFont="1" applyFill="1" applyBorder="1" applyAlignment="1">
      <alignment horizontal="left"/>
    </xf>
    <xf numFmtId="0" fontId="8" fillId="10" borderId="13" xfId="0" applyFont="1" applyFill="1" applyBorder="1" applyAlignment="1">
      <alignment horizontal="center"/>
    </xf>
    <xf numFmtId="0" fontId="8" fillId="10" borderId="7" xfId="0" applyFont="1" applyFill="1" applyBorder="1" applyAlignment="1">
      <alignment horizontal="centerContinuous"/>
    </xf>
    <xf numFmtId="0" fontId="7" fillId="10" borderId="0" xfId="0" applyFont="1" applyFill="1" applyAlignment="1">
      <alignment horizontal="center"/>
    </xf>
    <xf numFmtId="0" fontId="7" fillId="10" borderId="0" xfId="0" applyFont="1" applyFill="1" applyBorder="1" applyAlignment="1">
      <alignment horizontal="center"/>
    </xf>
    <xf numFmtId="0" fontId="7" fillId="10" borderId="3" xfId="0" applyFont="1" applyFill="1" applyBorder="1" applyAlignment="1">
      <alignment horizontal="center"/>
    </xf>
    <xf numFmtId="189" fontId="7" fillId="10" borderId="0" xfId="0" applyNumberFormat="1" applyFont="1" applyFill="1" applyAlignment="1">
      <alignment horizontal="center"/>
    </xf>
    <xf numFmtId="0" fontId="8" fillId="10" borderId="0" xfId="0" applyFont="1" applyFill="1" applyAlignment="1">
      <alignment/>
    </xf>
    <xf numFmtId="0" fontId="8" fillId="10" borderId="0" xfId="0" applyFont="1" applyFill="1" applyBorder="1" applyAlignment="1">
      <alignment/>
    </xf>
    <xf numFmtId="0" fontId="7" fillId="10" borderId="41" xfId="0" applyFont="1" applyFill="1" applyBorder="1" applyAlignment="1">
      <alignment horizontal="centerContinuous"/>
    </xf>
    <xf numFmtId="189" fontId="7" fillId="10" borderId="6" xfId="0" applyNumberFormat="1" applyFont="1" applyFill="1" applyBorder="1" applyAlignment="1">
      <alignment horizontal="center"/>
    </xf>
    <xf numFmtId="0" fontId="7" fillId="10" borderId="0" xfId="0" applyFont="1" applyFill="1" applyBorder="1" applyAlignment="1">
      <alignment/>
    </xf>
    <xf numFmtId="0" fontId="7" fillId="10" borderId="15" xfId="0" applyFont="1" applyFill="1" applyBorder="1" applyAlignment="1">
      <alignment/>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0" xfId="0" applyFont="1" applyBorder="1" applyAlignment="1">
      <alignment/>
    </xf>
    <xf numFmtId="0" fontId="30" fillId="6" borderId="6" xfId="0" applyFont="1" applyFill="1" applyBorder="1" applyAlignment="1" applyProtection="1">
      <alignment/>
      <protection locked="0"/>
    </xf>
    <xf numFmtId="0" fontId="8" fillId="9" borderId="6" xfId="0" applyFont="1" applyFill="1" applyBorder="1" applyAlignment="1" applyProtection="1">
      <alignment horizontal="center" vertical="center" wrapText="1"/>
      <protection locked="0"/>
    </xf>
    <xf numFmtId="0" fontId="0" fillId="8" borderId="42" xfId="0" applyFill="1" applyBorder="1" applyAlignment="1">
      <alignment/>
    </xf>
    <xf numFmtId="0" fontId="0" fillId="8" borderId="43" xfId="0" applyFill="1" applyBorder="1" applyAlignment="1">
      <alignment/>
    </xf>
    <xf numFmtId="0" fontId="0" fillId="8" borderId="44" xfId="0" applyFill="1" applyBorder="1" applyAlignment="1">
      <alignment/>
    </xf>
    <xf numFmtId="0" fontId="2" fillId="0" borderId="0" xfId="0" applyFont="1" applyFill="1" applyBorder="1" applyAlignment="1">
      <alignment/>
    </xf>
    <xf numFmtId="0" fontId="0" fillId="8" borderId="45" xfId="0" applyFont="1" applyFill="1" applyBorder="1" applyAlignment="1">
      <alignment/>
    </xf>
    <xf numFmtId="0" fontId="0" fillId="8" borderId="5" xfId="0" applyFont="1" applyFill="1" applyBorder="1" applyAlignment="1">
      <alignment/>
    </xf>
    <xf numFmtId="0" fontId="0" fillId="8" borderId="46" xfId="0" applyFont="1" applyFill="1" applyBorder="1" applyAlignment="1">
      <alignment/>
    </xf>
    <xf numFmtId="0" fontId="0" fillId="0" borderId="0" xfId="0" applyFont="1" applyFill="1" applyAlignment="1">
      <alignment horizontal="center" vertical="center"/>
    </xf>
    <xf numFmtId="0" fontId="0" fillId="8" borderId="47" xfId="0" applyFont="1" applyFill="1" applyBorder="1" applyAlignment="1">
      <alignment horizontal="center" vertical="center"/>
    </xf>
    <xf numFmtId="0" fontId="0" fillId="8" borderId="0" xfId="0" applyFont="1" applyFill="1" applyBorder="1" applyAlignment="1">
      <alignment horizontal="center" vertical="center"/>
    </xf>
    <xf numFmtId="4" fontId="2" fillId="0" borderId="6" xfId="0" applyNumberFormat="1" applyFont="1" applyFill="1" applyBorder="1" applyAlignment="1">
      <alignment horizontal="centerContinuous" vertical="center"/>
    </xf>
    <xf numFmtId="4" fontId="2" fillId="0" borderId="6" xfId="0" applyNumberFormat="1" applyFont="1" applyFill="1" applyBorder="1" applyAlignment="1">
      <alignment horizontal="center" vertical="center"/>
    </xf>
    <xf numFmtId="0" fontId="0" fillId="8" borderId="48" xfId="0" applyFont="1" applyFill="1" applyBorder="1" applyAlignment="1">
      <alignment horizontal="center" vertical="center"/>
    </xf>
    <xf numFmtId="0" fontId="2" fillId="0" borderId="0" xfId="0" applyFont="1" applyFill="1" applyAlignment="1">
      <alignment horizontal="center" vertical="center" wrapText="1"/>
    </xf>
    <xf numFmtId="0" fontId="2" fillId="8" borderId="47" xfId="0" applyFont="1" applyFill="1" applyBorder="1" applyAlignment="1">
      <alignment horizontal="center" vertical="center" wrapText="1"/>
    </xf>
    <xf numFmtId="0" fontId="2" fillId="8" borderId="0" xfId="0"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8" borderId="48" xfId="0" applyFont="1" applyFill="1" applyBorder="1" applyAlignment="1">
      <alignment horizontal="center" vertical="center" wrapText="1"/>
    </xf>
    <xf numFmtId="0" fontId="25" fillId="11" borderId="0" xfId="0" applyFont="1" applyFill="1" applyBorder="1" applyAlignment="1">
      <alignment horizontal="center" vertical="center"/>
    </xf>
    <xf numFmtId="4" fontId="2" fillId="11"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4" fontId="0" fillId="0" borderId="6" xfId="0" applyNumberFormat="1" applyFont="1" applyFill="1" applyBorder="1" applyAlignment="1">
      <alignment horizontal="center" vertical="center"/>
    </xf>
    <xf numFmtId="206" fontId="0" fillId="8" borderId="6" xfId="0" applyNumberFormat="1" applyFont="1" applyFill="1" applyBorder="1" applyAlignment="1">
      <alignment horizontal="left" vertical="center"/>
    </xf>
    <xf numFmtId="0" fontId="53" fillId="0" borderId="0" xfId="0" applyFont="1" applyFill="1" applyAlignment="1">
      <alignment horizontal="center" vertical="center"/>
    </xf>
    <xf numFmtId="0" fontId="53" fillId="8" borderId="47" xfId="0" applyFont="1" applyFill="1" applyBorder="1" applyAlignment="1">
      <alignment horizontal="center" vertical="center"/>
    </xf>
    <xf numFmtId="0" fontId="53" fillId="8" borderId="0" xfId="0" applyFont="1" applyFill="1" applyBorder="1" applyAlignment="1">
      <alignment horizontal="center" vertical="center"/>
    </xf>
    <xf numFmtId="4" fontId="53" fillId="8" borderId="0" xfId="0" applyNumberFormat="1" applyFont="1" applyFill="1" applyBorder="1" applyAlignment="1">
      <alignment horizontal="center" vertical="center"/>
    </xf>
    <xf numFmtId="49" fontId="53" fillId="8" borderId="0" xfId="0" applyNumberFormat="1" applyFont="1" applyFill="1" applyBorder="1" applyAlignment="1">
      <alignment horizontal="center" vertical="center"/>
    </xf>
    <xf numFmtId="0" fontId="53" fillId="8" borderId="48" xfId="0" applyFont="1" applyFill="1" applyBorder="1" applyAlignment="1">
      <alignment horizontal="center" vertical="center"/>
    </xf>
    <xf numFmtId="4" fontId="0" fillId="8" borderId="0" xfId="0" applyNumberFormat="1" applyFont="1" applyFill="1" applyBorder="1" applyAlignment="1">
      <alignment horizontal="right" vertical="center"/>
    </xf>
    <xf numFmtId="4" fontId="0" fillId="8" borderId="0" xfId="0" applyNumberFormat="1" applyFont="1" applyFill="1" applyBorder="1" applyAlignment="1">
      <alignment horizontal="left" vertical="center"/>
    </xf>
    <xf numFmtId="49" fontId="0" fillId="8" borderId="0" xfId="0" applyNumberFormat="1" applyFont="1" applyFill="1" applyBorder="1" applyAlignment="1">
      <alignment horizontal="left" vertical="center"/>
    </xf>
    <xf numFmtId="0" fontId="8" fillId="0" borderId="6" xfId="0" applyNumberFormat="1" applyFont="1" applyFill="1" applyBorder="1" applyAlignment="1">
      <alignment horizontal="center" vertical="center"/>
    </xf>
    <xf numFmtId="0" fontId="23" fillId="0" borderId="0" xfId="0" applyFont="1" applyAlignment="1">
      <alignment horizontal="left"/>
    </xf>
    <xf numFmtId="0" fontId="25" fillId="0" borderId="0" xfId="0" applyFont="1" applyAlignment="1">
      <alignment horizontal="left"/>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7" fillId="0" borderId="6" xfId="0" applyNumberFormat="1" applyFont="1" applyFill="1" applyBorder="1" applyAlignment="1">
      <alignment horizontal="center" vertical="center"/>
    </xf>
    <xf numFmtId="191" fontId="2" fillId="0" borderId="6" xfId="0" applyNumberFormat="1" applyFont="1" applyBorder="1" applyAlignment="1">
      <alignment/>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 fontId="1" fillId="0" borderId="0" xfId="0" applyNumberFormat="1" applyFont="1" applyFill="1" applyBorder="1" applyAlignment="1">
      <alignment vertical="top"/>
    </xf>
    <xf numFmtId="0" fontId="0" fillId="0" borderId="0" xfId="0" applyAlignment="1">
      <alignment horizontal="right"/>
    </xf>
    <xf numFmtId="204" fontId="0" fillId="0" borderId="0" xfId="16" applyNumberFormat="1" applyBorder="1" applyAlignment="1">
      <alignment/>
    </xf>
    <xf numFmtId="0" fontId="18" fillId="0" borderId="0" xfId="0" applyFont="1" applyAlignment="1">
      <alignment/>
    </xf>
    <xf numFmtId="4" fontId="0" fillId="0" borderId="0" xfId="0" applyNumberFormat="1" applyFont="1" applyFill="1" applyBorder="1" applyAlignment="1">
      <alignment horizontal="right" vertical="center"/>
    </xf>
    <xf numFmtId="0" fontId="2" fillId="0" borderId="0" xfId="0" applyFont="1" applyBorder="1" applyAlignment="1">
      <alignment/>
    </xf>
    <xf numFmtId="4" fontId="0" fillId="0" borderId="0" xfId="0" applyNumberFormat="1" applyBorder="1" applyAlignment="1">
      <alignment vertical="top"/>
    </xf>
    <xf numFmtId="0" fontId="25" fillId="5" borderId="18" xfId="0" applyFont="1" applyFill="1" applyBorder="1" applyAlignment="1">
      <alignment/>
    </xf>
    <xf numFmtId="0" fontId="55" fillId="5" borderId="18" xfId="0" applyFont="1" applyFill="1" applyBorder="1" applyAlignment="1">
      <alignment/>
    </xf>
    <xf numFmtId="0" fontId="54" fillId="5" borderId="18" xfId="0" applyFont="1" applyFill="1" applyBorder="1" applyAlignment="1">
      <alignment/>
    </xf>
    <xf numFmtId="0" fontId="0" fillId="5" borderId="18" xfId="0" applyFill="1" applyBorder="1" applyAlignment="1">
      <alignment/>
    </xf>
    <xf numFmtId="0" fontId="23" fillId="5" borderId="18" xfId="0" applyFont="1" applyFill="1" applyBorder="1" applyAlignment="1">
      <alignment vertical="center"/>
    </xf>
    <xf numFmtId="0" fontId="54" fillId="5" borderId="18" xfId="0" applyFont="1" applyFill="1" applyBorder="1" applyAlignment="1">
      <alignment vertical="center"/>
    </xf>
    <xf numFmtId="0" fontId="0" fillId="7" borderId="0" xfId="0" applyFill="1" applyAlignment="1">
      <alignment/>
    </xf>
    <xf numFmtId="191" fontId="0" fillId="7" borderId="0" xfId="0" applyNumberFormat="1" applyFill="1" applyBorder="1" applyAlignment="1">
      <alignment horizontal="right"/>
    </xf>
    <xf numFmtId="0" fontId="0" fillId="7" borderId="0" xfId="0" applyFill="1" applyBorder="1" applyAlignment="1">
      <alignment horizontal="right"/>
    </xf>
    <xf numFmtId="4" fontId="35" fillId="5" borderId="0" xfId="0" applyNumberFormat="1" applyFont="1" applyFill="1" applyAlignment="1">
      <alignment/>
    </xf>
    <xf numFmtId="4" fontId="35" fillId="5" borderId="0" xfId="0" applyNumberFormat="1" applyFont="1" applyFill="1" applyBorder="1" applyAlignment="1">
      <alignment/>
    </xf>
    <xf numFmtId="4" fontId="39" fillId="5" borderId="0" xfId="0" applyNumberFormat="1" applyFont="1" applyFill="1" applyBorder="1" applyAlignment="1">
      <alignment/>
    </xf>
    <xf numFmtId="4" fontId="42" fillId="5" borderId="0" xfId="0" applyNumberFormat="1" applyFont="1" applyFill="1" applyBorder="1" applyAlignment="1">
      <alignment vertical="top"/>
    </xf>
    <xf numFmtId="4" fontId="7" fillId="10" borderId="0" xfId="0" applyNumberFormat="1" applyFont="1" applyFill="1" applyBorder="1" applyAlignment="1">
      <alignment horizontal="center"/>
    </xf>
    <xf numFmtId="4" fontId="7" fillId="10" borderId="40" xfId="0" applyNumberFormat="1" applyFont="1" applyFill="1" applyBorder="1" applyAlignment="1">
      <alignment horizontal="centerContinuous"/>
    </xf>
    <xf numFmtId="4" fontId="7" fillId="10" borderId="6" xfId="0" applyNumberFormat="1" applyFont="1" applyFill="1" applyBorder="1" applyAlignment="1">
      <alignment horizontal="center"/>
    </xf>
    <xf numFmtId="4" fontId="21" fillId="5" borderId="18" xfId="0" applyNumberFormat="1" applyFont="1" applyFill="1" applyBorder="1" applyAlignment="1">
      <alignment vertical="center"/>
    </xf>
    <xf numFmtId="4" fontId="27" fillId="8" borderId="6" xfId="0" applyNumberFormat="1" applyFont="1" applyFill="1" applyBorder="1" applyAlignment="1">
      <alignment/>
    </xf>
    <xf numFmtId="4" fontId="27" fillId="8" borderId="14" xfId="0" applyNumberFormat="1" applyFont="1" applyFill="1" applyBorder="1" applyAlignment="1">
      <alignment/>
    </xf>
    <xf numFmtId="4" fontId="27" fillId="8" borderId="15" xfId="0" applyNumberFormat="1" applyFont="1" applyFill="1" applyBorder="1" applyAlignment="1">
      <alignment/>
    </xf>
    <xf numFmtId="4" fontId="27" fillId="8" borderId="16" xfId="0" applyNumberFormat="1" applyFont="1" applyFill="1" applyBorder="1" applyAlignment="1">
      <alignment/>
    </xf>
    <xf numFmtId="4" fontId="27" fillId="8" borderId="0" xfId="0" applyNumberFormat="1" applyFont="1" applyFill="1" applyBorder="1" applyAlignment="1">
      <alignment/>
    </xf>
    <xf numFmtId="4" fontId="8" fillId="0" borderId="0" xfId="0" applyNumberFormat="1" applyFont="1" applyFill="1" applyAlignment="1">
      <alignment/>
    </xf>
    <xf numFmtId="4" fontId="0" fillId="0" borderId="0" xfId="0" applyNumberFormat="1" applyFill="1" applyAlignment="1">
      <alignment/>
    </xf>
    <xf numFmtId="0" fontId="27" fillId="9" borderId="7" xfId="0" applyFont="1" applyFill="1" applyBorder="1" applyAlignment="1" applyProtection="1">
      <alignment/>
      <protection locked="0"/>
    </xf>
    <xf numFmtId="0" fontId="30" fillId="0" borderId="16" xfId="0" applyFont="1" applyFill="1" applyBorder="1" applyAlignment="1">
      <alignment/>
    </xf>
    <xf numFmtId="0" fontId="0" fillId="7" borderId="49" xfId="0" applyFill="1" applyBorder="1" applyAlignment="1">
      <alignment/>
    </xf>
    <xf numFmtId="0" fontId="0" fillId="7" borderId="6" xfId="0" applyFill="1" applyBorder="1" applyAlignment="1">
      <alignment/>
    </xf>
    <xf numFmtId="0" fontId="0" fillId="7" borderId="14" xfId="0" applyFill="1" applyBorder="1" applyAlignment="1">
      <alignment horizontal="right"/>
    </xf>
    <xf numFmtId="191" fontId="0" fillId="7" borderId="49" xfId="0" applyNumberFormat="1" applyFill="1" applyBorder="1" applyAlignment="1">
      <alignment horizontal="right"/>
    </xf>
    <xf numFmtId="191" fontId="0" fillId="7" borderId="6" xfId="0" applyNumberFormat="1" applyFill="1" applyBorder="1" applyAlignment="1">
      <alignment horizontal="right"/>
    </xf>
    <xf numFmtId="191" fontId="0" fillId="7" borderId="14" xfId="0" applyNumberFormat="1" applyFill="1" applyBorder="1" applyAlignment="1">
      <alignment horizontal="right"/>
    </xf>
    <xf numFmtId="192" fontId="27" fillId="6" borderId="41" xfId="0" applyNumberFormat="1" applyFont="1" applyFill="1" applyBorder="1" applyAlignment="1" applyProtection="1">
      <alignment/>
      <protection locked="0"/>
    </xf>
    <xf numFmtId="0" fontId="27" fillId="9" borderId="3" xfId="0" applyFont="1" applyFill="1" applyBorder="1" applyAlignment="1" applyProtection="1">
      <alignment/>
      <protection locked="0"/>
    </xf>
    <xf numFmtId="0" fontId="27" fillId="6" borderId="41" xfId="0" applyFont="1" applyFill="1" applyBorder="1" applyAlignment="1" applyProtection="1">
      <alignment/>
      <protection locked="0"/>
    </xf>
    <xf numFmtId="0" fontId="0" fillId="0" borderId="0" xfId="0" applyFill="1" applyAlignment="1" applyProtection="1">
      <alignment/>
      <protection/>
    </xf>
    <xf numFmtId="0" fontId="39" fillId="5"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pplyProtection="1">
      <alignment/>
      <protection/>
    </xf>
    <xf numFmtId="0" fontId="52" fillId="0" borderId="0" xfId="0" applyFont="1" applyAlignment="1" applyProtection="1">
      <alignment/>
      <protection/>
    </xf>
    <xf numFmtId="0" fontId="35" fillId="5" borderId="0" xfId="0" applyFont="1" applyFill="1" applyAlignment="1" applyProtection="1">
      <alignment/>
      <protection/>
    </xf>
    <xf numFmtId="0" fontId="35" fillId="0" borderId="0" xfId="0" applyFont="1" applyFill="1" applyAlignment="1" applyProtection="1">
      <alignment/>
      <protection/>
    </xf>
    <xf numFmtId="0" fontId="35" fillId="5" borderId="0" xfId="0" applyFont="1" applyFill="1" applyBorder="1" applyAlignment="1" applyProtection="1">
      <alignment/>
      <protection/>
    </xf>
    <xf numFmtId="0" fontId="35" fillId="0" borderId="0" xfId="0" applyFont="1" applyFill="1" applyBorder="1" applyAlignment="1" applyProtection="1">
      <alignment/>
      <protection/>
    </xf>
    <xf numFmtId="0" fontId="42" fillId="5" borderId="0" xfId="0" applyFont="1" applyFill="1" applyBorder="1" applyAlignment="1" applyProtection="1">
      <alignment/>
      <protection/>
    </xf>
    <xf numFmtId="0" fontId="40" fillId="5" borderId="0" xfId="0" applyFont="1" applyFill="1" applyBorder="1" applyAlignment="1" applyProtection="1">
      <alignment horizontal="left"/>
      <protection/>
    </xf>
    <xf numFmtId="0" fontId="44" fillId="5" borderId="0" xfId="0" applyFont="1" applyFill="1" applyBorder="1" applyAlignment="1" applyProtection="1">
      <alignment horizontal="left"/>
      <protection/>
    </xf>
    <xf numFmtId="0" fontId="42" fillId="0" borderId="0" xfId="0" applyFont="1" applyFill="1" applyBorder="1" applyAlignment="1" applyProtection="1">
      <alignment/>
      <protection/>
    </xf>
    <xf numFmtId="0" fontId="42" fillId="5" borderId="0" xfId="0" applyFont="1" applyFill="1" applyAlignment="1" applyProtection="1">
      <alignment vertical="top"/>
      <protection/>
    </xf>
    <xf numFmtId="0" fontId="43" fillId="5" borderId="0" xfId="0" applyFont="1" applyFill="1" applyAlignment="1" applyProtection="1">
      <alignment vertical="top"/>
      <protection/>
    </xf>
    <xf numFmtId="0" fontId="43" fillId="5" borderId="0" xfId="0" applyFont="1" applyFill="1" applyBorder="1" applyAlignment="1" applyProtection="1">
      <alignment vertical="top"/>
      <protection/>
    </xf>
    <xf numFmtId="0" fontId="42" fillId="5" borderId="0" xfId="0" applyFont="1" applyFill="1" applyBorder="1" applyAlignment="1" applyProtection="1">
      <alignment vertical="top"/>
      <protection/>
    </xf>
    <xf numFmtId="0" fontId="42" fillId="0" borderId="0" xfId="0" applyFont="1" applyFill="1" applyAlignment="1" applyProtection="1">
      <alignment vertical="top"/>
      <protection/>
    </xf>
    <xf numFmtId="0" fontId="7" fillId="10" borderId="0" xfId="0" applyFont="1" applyFill="1" applyAlignment="1" applyProtection="1">
      <alignment horizontal="center"/>
      <protection/>
    </xf>
    <xf numFmtId="0" fontId="7" fillId="10" borderId="0" xfId="0" applyFont="1" applyFill="1" applyBorder="1" applyAlignment="1" applyProtection="1">
      <alignment horizontal="center"/>
      <protection/>
    </xf>
    <xf numFmtId="0" fontId="7" fillId="10" borderId="3" xfId="0" applyFont="1" applyFill="1" applyBorder="1" applyAlignment="1" applyProtection="1">
      <alignment horizontal="center"/>
      <protection/>
    </xf>
    <xf numFmtId="0" fontId="8" fillId="10" borderId="0" xfId="0" applyFont="1" applyFill="1" applyAlignment="1" applyProtection="1">
      <alignment/>
      <protection/>
    </xf>
    <xf numFmtId="0" fontId="8" fillId="10" borderId="0" xfId="0" applyFont="1" applyFill="1" applyBorder="1" applyAlignment="1" applyProtection="1">
      <alignment/>
      <protection/>
    </xf>
    <xf numFmtId="0" fontId="7" fillId="10" borderId="39" xfId="0" applyFont="1" applyFill="1" applyBorder="1" applyAlignment="1" applyProtection="1">
      <alignment horizontal="centerContinuous"/>
      <protection/>
    </xf>
    <xf numFmtId="0" fontId="7" fillId="10" borderId="41" xfId="0" applyFont="1" applyFill="1" applyBorder="1" applyAlignment="1" applyProtection="1">
      <alignment horizontal="centerContinuous"/>
      <protection/>
    </xf>
    <xf numFmtId="0" fontId="7" fillId="10" borderId="40" xfId="0" applyFont="1" applyFill="1" applyBorder="1" applyAlignment="1" applyProtection="1">
      <alignment horizontal="centerContinuous"/>
      <protection/>
    </xf>
    <xf numFmtId="0" fontId="8" fillId="10" borderId="0" xfId="0" applyFont="1" applyFill="1" applyAlignment="1" applyProtection="1">
      <alignment/>
      <protection/>
    </xf>
    <xf numFmtId="0" fontId="7" fillId="10" borderId="0" xfId="0" applyFont="1" applyFill="1" applyBorder="1" applyAlignment="1" applyProtection="1">
      <alignment/>
      <protection/>
    </xf>
    <xf numFmtId="0" fontId="7" fillId="10" borderId="19" xfId="0" applyFont="1" applyFill="1" applyBorder="1" applyAlignment="1" applyProtection="1">
      <alignment horizontal="center"/>
      <protection/>
    </xf>
    <xf numFmtId="0" fontId="7" fillId="10" borderId="6" xfId="0" applyFont="1" applyFill="1" applyBorder="1" applyAlignment="1" applyProtection="1">
      <alignment horizontal="left"/>
      <protection/>
    </xf>
    <xf numFmtId="0" fontId="7" fillId="10" borderId="14" xfId="0" applyFont="1" applyFill="1" applyBorder="1" applyAlignment="1" applyProtection="1">
      <alignment/>
      <protection/>
    </xf>
    <xf numFmtId="0" fontId="7" fillId="10" borderId="50" xfId="0" applyFont="1" applyFill="1" applyBorder="1" applyAlignment="1" applyProtection="1">
      <alignment horizontal="center"/>
      <protection/>
    </xf>
    <xf numFmtId="0" fontId="8" fillId="10" borderId="14" xfId="0" applyFont="1" applyFill="1" applyBorder="1" applyAlignment="1" applyProtection="1">
      <alignment horizontal="center"/>
      <protection/>
    </xf>
    <xf numFmtId="0" fontId="22" fillId="5" borderId="18" xfId="0" applyFont="1" applyFill="1" applyBorder="1" applyAlignment="1" applyProtection="1">
      <alignment vertical="center"/>
      <protection/>
    </xf>
    <xf numFmtId="0" fontId="23" fillId="5" borderId="18" xfId="0" applyFont="1" applyFill="1" applyBorder="1" applyAlignment="1" applyProtection="1">
      <alignment vertical="center"/>
      <protection/>
    </xf>
    <xf numFmtId="192" fontId="22" fillId="5" borderId="18" xfId="0" applyNumberFormat="1" applyFont="1" applyFill="1" applyBorder="1" applyAlignment="1" applyProtection="1">
      <alignment vertical="center"/>
      <protection/>
    </xf>
    <xf numFmtId="0" fontId="22" fillId="5" borderId="0"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8" fillId="0" borderId="0" xfId="0" applyFont="1" applyFill="1" applyAlignment="1" applyProtection="1">
      <alignment/>
      <protection/>
    </xf>
    <xf numFmtId="0" fontId="31" fillId="0" borderId="0" xfId="0" applyFont="1" applyFill="1" applyAlignment="1" applyProtection="1">
      <alignment/>
      <protection/>
    </xf>
    <xf numFmtId="0" fontId="31" fillId="0" borderId="0" xfId="0" applyFont="1" applyFill="1" applyAlignment="1" applyProtection="1">
      <alignment/>
      <protection/>
    </xf>
    <xf numFmtId="0" fontId="31" fillId="0" borderId="0" xfId="0" applyFont="1" applyFill="1" applyBorder="1" applyAlignment="1" applyProtection="1">
      <alignment/>
      <protection/>
    </xf>
    <xf numFmtId="0" fontId="27" fillId="0" borderId="0" xfId="0" applyFont="1" applyFill="1" applyAlignment="1" applyProtection="1">
      <alignment/>
      <protection/>
    </xf>
    <xf numFmtId="192" fontId="27" fillId="7" borderId="6" xfId="0" applyNumberFormat="1"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Fill="1" applyBorder="1" applyAlignment="1" applyProtection="1">
      <alignment/>
      <protection/>
    </xf>
    <xf numFmtId="192" fontId="27" fillId="7" borderId="14" xfId="0" applyNumberFormat="1" applyFont="1" applyFill="1" applyBorder="1" applyAlignment="1" applyProtection="1">
      <alignment/>
      <protection/>
    </xf>
    <xf numFmtId="192" fontId="27" fillId="7" borderId="15" xfId="0" applyNumberFormat="1" applyFont="1" applyFill="1" applyBorder="1" applyAlignment="1" applyProtection="1">
      <alignment/>
      <protection/>
    </xf>
    <xf numFmtId="0" fontId="25" fillId="5" borderId="18" xfId="0" applyFont="1" applyFill="1" applyBorder="1" applyAlignment="1" applyProtection="1">
      <alignment vertical="center"/>
      <protection/>
    </xf>
    <xf numFmtId="0" fontId="27" fillId="9" borderId="0" xfId="0" applyFont="1" applyFill="1" applyBorder="1" applyAlignment="1" applyProtection="1">
      <alignment/>
      <protection/>
    </xf>
    <xf numFmtId="0" fontId="34" fillId="0" borderId="0" xfId="0" applyFont="1" applyFill="1" applyAlignment="1" applyProtection="1">
      <alignment/>
      <protection/>
    </xf>
    <xf numFmtId="0" fontId="30" fillId="6" borderId="0" xfId="0" applyFont="1" applyFill="1" applyBorder="1" applyAlignment="1" applyProtection="1">
      <alignment/>
      <protection/>
    </xf>
    <xf numFmtId="192" fontId="27" fillId="6" borderId="0" xfId="0" applyNumberFormat="1" applyFont="1" applyFill="1" applyBorder="1" applyAlignment="1" applyProtection="1">
      <alignment/>
      <protection/>
    </xf>
    <xf numFmtId="0" fontId="27" fillId="6" borderId="0" xfId="0" applyFont="1" applyFill="1" applyBorder="1" applyAlignment="1" applyProtection="1">
      <alignment/>
      <protection/>
    </xf>
    <xf numFmtId="0" fontId="8" fillId="0" borderId="0" xfId="0" applyFont="1" applyFill="1" applyBorder="1" applyAlignment="1" applyProtection="1">
      <alignment/>
      <protection/>
    </xf>
    <xf numFmtId="184" fontId="35" fillId="5" borderId="0" xfId="0" applyNumberFormat="1" applyFont="1" applyFill="1" applyAlignment="1" applyProtection="1">
      <alignment/>
      <protection/>
    </xf>
    <xf numFmtId="184" fontId="35" fillId="5" borderId="0" xfId="0" applyNumberFormat="1" applyFont="1" applyFill="1" applyBorder="1" applyAlignment="1" applyProtection="1">
      <alignment/>
      <protection/>
    </xf>
    <xf numFmtId="184" fontId="39" fillId="5" borderId="0" xfId="0" applyNumberFormat="1" applyFont="1" applyFill="1" applyBorder="1" applyAlignment="1" applyProtection="1">
      <alignment/>
      <protection/>
    </xf>
    <xf numFmtId="184" fontId="42" fillId="5" borderId="0" xfId="0" applyNumberFormat="1" applyFont="1" applyFill="1" applyBorder="1" applyAlignment="1" applyProtection="1">
      <alignment vertical="top"/>
      <protection/>
    </xf>
    <xf numFmtId="184" fontId="7" fillId="10" borderId="0" xfId="0" applyNumberFormat="1" applyFont="1" applyFill="1" applyBorder="1" applyAlignment="1" applyProtection="1">
      <alignment horizontal="center"/>
      <protection/>
    </xf>
    <xf numFmtId="184" fontId="7" fillId="10" borderId="40" xfId="0" applyNumberFormat="1" applyFont="1" applyFill="1" applyBorder="1" applyAlignment="1" applyProtection="1">
      <alignment horizontal="centerContinuous"/>
      <protection/>
    </xf>
    <xf numFmtId="0" fontId="8" fillId="10" borderId="16" xfId="0" applyFont="1" applyFill="1" applyBorder="1" applyAlignment="1" applyProtection="1">
      <alignment horizontal="center"/>
      <protection/>
    </xf>
    <xf numFmtId="0" fontId="7" fillId="10" borderId="16" xfId="0" applyFont="1" applyFill="1" applyBorder="1" applyAlignment="1" applyProtection="1">
      <alignment/>
      <protection/>
    </xf>
    <xf numFmtId="184" fontId="7" fillId="10" borderId="6" xfId="0" applyNumberFormat="1" applyFont="1" applyFill="1" applyBorder="1" applyAlignment="1" applyProtection="1">
      <alignment horizontal="center"/>
      <protection/>
    </xf>
    <xf numFmtId="0" fontId="8" fillId="10" borderId="17" xfId="0" applyFont="1" applyFill="1" applyBorder="1" applyAlignment="1" applyProtection="1">
      <alignment horizontal="center"/>
      <protection/>
    </xf>
    <xf numFmtId="0" fontId="7" fillId="10" borderId="17" xfId="0" applyFont="1" applyFill="1" applyBorder="1" applyAlignment="1" applyProtection="1">
      <alignment/>
      <protection/>
    </xf>
    <xf numFmtId="184" fontId="8" fillId="10" borderId="14" xfId="0" applyNumberFormat="1" applyFont="1" applyFill="1" applyBorder="1" applyAlignment="1" applyProtection="1">
      <alignment horizontal="center"/>
      <protection/>
    </xf>
    <xf numFmtId="184" fontId="21" fillId="5" borderId="18" xfId="0" applyNumberFormat="1" applyFont="1" applyFill="1" applyBorder="1" applyAlignment="1" applyProtection="1">
      <alignment vertical="center"/>
      <protection/>
    </xf>
    <xf numFmtId="184" fontId="27" fillId="8" borderId="6" xfId="0" applyNumberFormat="1" applyFont="1" applyFill="1" applyBorder="1" applyAlignment="1" applyProtection="1">
      <alignment/>
      <protection/>
    </xf>
    <xf numFmtId="192" fontId="27" fillId="7" borderId="16" xfId="0" applyNumberFormat="1" applyFont="1" applyFill="1" applyBorder="1" applyAlignment="1" applyProtection="1">
      <alignment/>
      <protection/>
    </xf>
    <xf numFmtId="184" fontId="27" fillId="8" borderId="16" xfId="0" applyNumberFormat="1" applyFont="1" applyFill="1" applyBorder="1" applyAlignment="1" applyProtection="1">
      <alignment/>
      <protection/>
    </xf>
    <xf numFmtId="184" fontId="27" fillId="8" borderId="14" xfId="0" applyNumberFormat="1" applyFont="1" applyFill="1" applyBorder="1" applyAlignment="1" applyProtection="1">
      <alignment/>
      <protection/>
    </xf>
    <xf numFmtId="184" fontId="27" fillId="8" borderId="15" xfId="0" applyNumberFormat="1" applyFont="1" applyFill="1" applyBorder="1" applyAlignment="1" applyProtection="1">
      <alignment/>
      <protection/>
    </xf>
    <xf numFmtId="0" fontId="27" fillId="10" borderId="6" xfId="0" applyFont="1" applyFill="1" applyBorder="1" applyAlignment="1" applyProtection="1">
      <alignment/>
      <protection/>
    </xf>
    <xf numFmtId="0" fontId="30" fillId="10" borderId="6" xfId="0" applyFont="1" applyFill="1" applyBorder="1" applyAlignment="1" applyProtection="1">
      <alignment/>
      <protection/>
    </xf>
    <xf numFmtId="192" fontId="27" fillId="10" borderId="6" xfId="0" applyNumberFormat="1" applyFont="1" applyFill="1" applyBorder="1" applyAlignment="1" applyProtection="1">
      <alignment/>
      <protection/>
    </xf>
    <xf numFmtId="184" fontId="8" fillId="0" borderId="0" xfId="0" applyNumberFormat="1" applyFont="1" applyFill="1" applyAlignment="1" applyProtection="1">
      <alignment/>
      <protection/>
    </xf>
    <xf numFmtId="184" fontId="0" fillId="0" borderId="0" xfId="0" applyNumberFormat="1" applyFill="1" applyAlignment="1" applyProtection="1">
      <alignment/>
      <protection/>
    </xf>
    <xf numFmtId="192" fontId="27" fillId="6" borderId="6" xfId="0" applyNumberFormat="1" applyFont="1" applyFill="1" applyBorder="1" applyAlignment="1" applyProtection="1">
      <alignment/>
      <protection locked="0"/>
    </xf>
    <xf numFmtId="0" fontId="0" fillId="0" borderId="6" xfId="0" applyBorder="1" applyAlignment="1" applyProtection="1">
      <alignment/>
      <protection locked="0"/>
    </xf>
    <xf numFmtId="4" fontId="8" fillId="0" borderId="0" xfId="0" applyNumberFormat="1" applyFont="1" applyFill="1" applyBorder="1" applyAlignment="1">
      <alignment horizontal="right" vertical="center"/>
    </xf>
    <xf numFmtId="0" fontId="8" fillId="0" borderId="0" xfId="0" applyFont="1" applyAlignment="1">
      <alignment horizontal="left" vertical="center"/>
    </xf>
    <xf numFmtId="0" fontId="0" fillId="0" borderId="0" xfId="0" applyAlignment="1">
      <alignment vertical="center"/>
    </xf>
    <xf numFmtId="0" fontId="32" fillId="10" borderId="16" xfId="0" applyFont="1" applyFill="1" applyBorder="1" applyAlignment="1" applyProtection="1">
      <alignment/>
      <protection/>
    </xf>
    <xf numFmtId="0" fontId="33" fillId="10" borderId="16" xfId="0" applyFont="1" applyFill="1" applyBorder="1" applyAlignment="1" applyProtection="1">
      <alignment/>
      <protection/>
    </xf>
    <xf numFmtId="192" fontId="32" fillId="10" borderId="16" xfId="0" applyNumberFormat="1" applyFont="1" applyFill="1" applyBorder="1" applyAlignment="1" applyProtection="1">
      <alignment/>
      <protection/>
    </xf>
    <xf numFmtId="0" fontId="27" fillId="9" borderId="49" xfId="0" applyFont="1" applyFill="1" applyBorder="1" applyAlignment="1" applyProtection="1">
      <alignment/>
      <protection locked="0"/>
    </xf>
    <xf numFmtId="192" fontId="27" fillId="7" borderId="49" xfId="0" applyNumberFormat="1" applyFont="1" applyFill="1" applyBorder="1" applyAlignment="1" applyProtection="1">
      <alignment/>
      <protection/>
    </xf>
    <xf numFmtId="0" fontId="27" fillId="6" borderId="49" xfId="0" applyFont="1" applyFill="1" applyBorder="1" applyAlignment="1" applyProtection="1">
      <alignment/>
      <protection locked="0"/>
    </xf>
    <xf numFmtId="184" fontId="27" fillId="8" borderId="49" xfId="0" applyNumberFormat="1" applyFont="1" applyFill="1" applyBorder="1" applyAlignment="1" applyProtection="1">
      <alignment/>
      <protection/>
    </xf>
    <xf numFmtId="189" fontId="8" fillId="10" borderId="16" xfId="0" applyNumberFormat="1" applyFont="1" applyFill="1" applyBorder="1" applyAlignment="1">
      <alignment horizontal="center"/>
    </xf>
    <xf numFmtId="189" fontId="0" fillId="0" borderId="0" xfId="0" applyNumberFormat="1" applyAlignment="1">
      <alignment/>
    </xf>
    <xf numFmtId="0" fontId="21" fillId="5" borderId="51" xfId="0" applyFont="1" applyFill="1" applyBorder="1" applyAlignment="1" applyProtection="1">
      <alignment vertical="center"/>
      <protection/>
    </xf>
    <xf numFmtId="0" fontId="21" fillId="5" borderId="18" xfId="0" applyFont="1" applyFill="1" applyBorder="1" applyAlignment="1" applyProtection="1">
      <alignment vertical="center"/>
      <protection/>
    </xf>
    <xf numFmtId="0" fontId="27" fillId="6" borderId="6" xfId="0" applyFont="1" applyFill="1" applyBorder="1" applyAlignment="1" applyProtection="1">
      <alignment/>
      <protection/>
    </xf>
    <xf numFmtId="0" fontId="27" fillId="6" borderId="15" xfId="0" applyFont="1" applyFill="1" applyBorder="1" applyAlignment="1" applyProtection="1">
      <alignment/>
      <protection/>
    </xf>
    <xf numFmtId="192" fontId="27" fillId="6" borderId="6" xfId="0" applyNumberFormat="1" applyFont="1" applyFill="1" applyBorder="1" applyAlignment="1" applyProtection="1">
      <alignment/>
      <protection/>
    </xf>
    <xf numFmtId="0" fontId="0" fillId="0" borderId="0" xfId="0" applyFill="1" applyAlignment="1" applyProtection="1">
      <alignment horizontal="right"/>
      <protection/>
    </xf>
    <xf numFmtId="0" fontId="0" fillId="7" borderId="0" xfId="0" applyFill="1" applyAlignment="1" applyProtection="1">
      <alignment/>
      <protection/>
    </xf>
    <xf numFmtId="184" fontId="0" fillId="7" borderId="0" xfId="0" applyNumberFormat="1" applyFill="1" applyAlignment="1" applyProtection="1">
      <alignment/>
      <protection/>
    </xf>
    <xf numFmtId="0" fontId="0" fillId="7" borderId="6" xfId="0" applyFill="1" applyBorder="1" applyAlignment="1" applyProtection="1">
      <alignment/>
      <protection/>
    </xf>
    <xf numFmtId="191" fontId="0" fillId="7" borderId="6" xfId="0" applyNumberFormat="1" applyFill="1" applyBorder="1" applyAlignment="1" applyProtection="1">
      <alignment/>
      <protection/>
    </xf>
    <xf numFmtId="184" fontId="0" fillId="7" borderId="6" xfId="0" applyNumberFormat="1" applyFill="1" applyBorder="1" applyAlignment="1" applyProtection="1">
      <alignment/>
      <protection/>
    </xf>
    <xf numFmtId="184" fontId="8" fillId="7" borderId="6" xfId="0" applyNumberFormat="1" applyFont="1" applyFill="1" applyBorder="1" applyAlignment="1" applyProtection="1">
      <alignment/>
      <protection/>
    </xf>
    <xf numFmtId="0" fontId="0" fillId="9" borderId="6" xfId="0" applyFill="1" applyBorder="1" applyAlignment="1" applyProtection="1">
      <alignment/>
      <protection locked="0"/>
    </xf>
    <xf numFmtId="184" fontId="21" fillId="8" borderId="0" xfId="0" applyNumberFormat="1" applyFont="1" applyFill="1" applyBorder="1" applyAlignment="1" applyProtection="1">
      <alignment/>
      <protection/>
    </xf>
    <xf numFmtId="184" fontId="23" fillId="5" borderId="18" xfId="0" applyNumberFormat="1" applyFont="1" applyFill="1" applyBorder="1" applyAlignment="1" applyProtection="1">
      <alignment vertical="center"/>
      <protection/>
    </xf>
    <xf numFmtId="0" fontId="3" fillId="0" borderId="0" xfId="0" applyFont="1" applyFill="1" applyAlignment="1" applyProtection="1">
      <alignment/>
      <protection/>
    </xf>
    <xf numFmtId="0" fontId="59" fillId="0" borderId="0" xfId="0" applyFont="1" applyFill="1" applyAlignment="1" applyProtection="1">
      <alignment/>
      <protection/>
    </xf>
    <xf numFmtId="0" fontId="0" fillId="5" borderId="52" xfId="0" applyFill="1" applyBorder="1" applyAlignment="1">
      <alignment/>
    </xf>
    <xf numFmtId="0" fontId="13" fillId="4" borderId="0" xfId="0" applyFont="1" applyFill="1" applyAlignment="1" applyProtection="1">
      <alignment/>
      <protection hidden="1"/>
    </xf>
    <xf numFmtId="0" fontId="11" fillId="4" borderId="0" xfId="0" applyFont="1" applyFill="1" applyAlignment="1" applyProtection="1">
      <alignment/>
      <protection hidden="1"/>
    </xf>
    <xf numFmtId="0" fontId="0" fillId="4" borderId="0" xfId="0" applyFill="1" applyAlignment="1" applyProtection="1">
      <alignment/>
      <protection hidden="1"/>
    </xf>
    <xf numFmtId="0" fontId="15" fillId="4" borderId="0" xfId="0" applyFont="1" applyFill="1" applyAlignment="1" applyProtection="1">
      <alignment/>
      <protection hidden="1"/>
    </xf>
    <xf numFmtId="14" fontId="14" fillId="4" borderId="0" xfId="0" applyNumberFormat="1" applyFont="1" applyFill="1" applyAlignment="1" applyProtection="1">
      <alignment/>
      <protection hidden="1"/>
    </xf>
    <xf numFmtId="0" fontId="2" fillId="4" borderId="0" xfId="0" applyFont="1" applyFill="1" applyAlignment="1" applyProtection="1">
      <alignment/>
      <protection hidden="1"/>
    </xf>
    <xf numFmtId="0" fontId="0" fillId="4" borderId="0" xfId="0" applyFont="1" applyFill="1" applyAlignment="1" applyProtection="1">
      <alignment/>
      <protection hidden="1"/>
    </xf>
    <xf numFmtId="0" fontId="3" fillId="4" borderId="0" xfId="0" applyFont="1" applyFill="1" applyAlignment="1" applyProtection="1">
      <alignment/>
      <protection hidden="1"/>
    </xf>
    <xf numFmtId="0" fontId="2" fillId="4" borderId="0" xfId="0" applyFont="1" applyFill="1" applyAlignment="1" applyProtection="1">
      <alignment/>
      <protection hidden="1"/>
    </xf>
    <xf numFmtId="0" fontId="18" fillId="4" borderId="0" xfId="0" applyFont="1" applyFill="1" applyAlignment="1" applyProtection="1">
      <alignment/>
      <protection hidden="1"/>
    </xf>
    <xf numFmtId="0" fontId="0" fillId="0" borderId="6" xfId="0" applyFont="1" applyFill="1" applyBorder="1" applyAlignment="1" applyProtection="1">
      <alignment horizontal="center" vertical="center"/>
      <protection locked="0"/>
    </xf>
    <xf numFmtId="4" fontId="0"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2" fillId="0" borderId="0" xfId="0" applyFont="1" applyAlignment="1">
      <alignment/>
    </xf>
    <xf numFmtId="0" fontId="0" fillId="0" borderId="0" xfId="0" applyFont="1" applyAlignment="1">
      <alignment/>
    </xf>
    <xf numFmtId="0" fontId="8" fillId="0" borderId="0" xfId="0" applyFont="1" applyAlignment="1">
      <alignment/>
    </xf>
    <xf numFmtId="192" fontId="0" fillId="0" borderId="0" xfId="0" applyNumberFormat="1" applyAlignment="1">
      <alignment horizontal="right"/>
    </xf>
    <xf numFmtId="184" fontId="0" fillId="0" borderId="0" xfId="0" applyNumberFormat="1" applyAlignment="1">
      <alignment horizontal="right"/>
    </xf>
    <xf numFmtId="1" fontId="0" fillId="0" borderId="0" xfId="0" applyNumberFormat="1" applyBorder="1" applyAlignment="1">
      <alignment/>
    </xf>
    <xf numFmtId="0" fontId="0" fillId="0" borderId="0" xfId="0" applyAlignment="1">
      <alignment wrapText="1"/>
    </xf>
    <xf numFmtId="0" fontId="2" fillId="0" borderId="0" xfId="0" applyFont="1" applyAlignment="1">
      <alignment wrapText="1"/>
    </xf>
    <xf numFmtId="0" fontId="36" fillId="0" borderId="0" xfId="0" applyFont="1" applyAlignment="1">
      <alignment wrapText="1"/>
    </xf>
    <xf numFmtId="0" fontId="0" fillId="0" borderId="0" xfId="0" applyFont="1" applyAlignment="1">
      <alignment/>
    </xf>
    <xf numFmtId="0" fontId="5" fillId="0" borderId="0" xfId="41" applyAlignment="1">
      <alignment horizontal="centerContinuous" vertical="top" wrapText="1"/>
    </xf>
    <xf numFmtId="0" fontId="0" fillId="0" borderId="53" xfId="0" applyBorder="1" applyAlignment="1">
      <alignment horizontal="center"/>
    </xf>
    <xf numFmtId="0" fontId="0" fillId="0" borderId="53" xfId="0" applyBorder="1" applyAlignment="1">
      <alignment horizontal="left"/>
    </xf>
    <xf numFmtId="0" fontId="47" fillId="0" borderId="0" xfId="60" applyFont="1" applyAlignment="1">
      <alignment horizontal="left"/>
      <protection/>
    </xf>
    <xf numFmtId="0" fontId="20" fillId="0" borderId="54" xfId="61" applyFont="1" applyBorder="1" applyAlignment="1">
      <alignment horizontal="left"/>
      <protection/>
    </xf>
    <xf numFmtId="0" fontId="0" fillId="0" borderId="54" xfId="0" applyFont="1" applyBorder="1" applyAlignment="1">
      <alignment/>
    </xf>
    <xf numFmtId="0" fontId="2" fillId="0" borderId="3" xfId="48" applyFont="1" applyBorder="1" applyAlignment="1">
      <alignment horizontal="center"/>
      <protection/>
    </xf>
    <xf numFmtId="0" fontId="2" fillId="0" borderId="0" xfId="48" applyFont="1" applyBorder="1" applyAlignment="1">
      <alignment horizontal="left"/>
      <protection/>
    </xf>
    <xf numFmtId="0" fontId="0" fillId="0" borderId="0" xfId="48" applyFont="1" applyBorder="1" applyAlignment="1">
      <alignment horizontal="left"/>
      <protection/>
    </xf>
    <xf numFmtId="3" fontId="0" fillId="0" borderId="0" xfId="48" applyNumberFormat="1" applyFont="1" applyBorder="1" applyAlignment="1">
      <alignment horizontal="right"/>
      <protection/>
    </xf>
    <xf numFmtId="3" fontId="36" fillId="0" borderId="0" xfId="48" applyNumberFormat="1" applyFont="1" applyBorder="1" applyAlignment="1">
      <alignment horizontal="right"/>
      <protection/>
    </xf>
    <xf numFmtId="0" fontId="0" fillId="0" borderId="0" xfId="48" applyFont="1" applyBorder="1" applyAlignment="1">
      <alignment horizontal="right"/>
      <protection/>
    </xf>
    <xf numFmtId="189" fontId="0" fillId="0" borderId="0" xfId="48" applyNumberFormat="1" applyFont="1" applyBorder="1" applyAlignment="1">
      <alignment horizontal="right"/>
      <protection/>
    </xf>
    <xf numFmtId="189" fontId="36" fillId="0" borderId="0" xfId="48" applyNumberFormat="1" applyFont="1" applyBorder="1" applyAlignment="1">
      <alignment horizontal="right"/>
      <protection/>
    </xf>
    <xf numFmtId="3" fontId="71" fillId="0" borderId="0" xfId="48" applyNumberFormat="1" applyFont="1" applyBorder="1" applyAlignment="1">
      <alignment horizontal="right"/>
      <protection/>
    </xf>
    <xf numFmtId="0" fontId="0" fillId="0" borderId="54" xfId="48" applyFont="1" applyBorder="1" applyAlignment="1">
      <alignment horizontal="left"/>
      <protection/>
    </xf>
    <xf numFmtId="189" fontId="0" fillId="0" borderId="54" xfId="48" applyNumberFormat="1" applyFont="1" applyBorder="1" applyAlignment="1">
      <alignment horizontal="right"/>
      <protection/>
    </xf>
    <xf numFmtId="0" fontId="36" fillId="0" borderId="55" xfId="48" applyFont="1" applyBorder="1" applyAlignment="1">
      <alignment horizontal="left"/>
      <protection/>
    </xf>
    <xf numFmtId="0" fontId="36" fillId="0" borderId="0" xfId="48" applyFont="1" applyAlignment="1">
      <alignment horizontal="left"/>
      <protection/>
    </xf>
    <xf numFmtId="0" fontId="60" fillId="0" borderId="0" xfId="48" applyFont="1" applyAlignment="1">
      <alignment horizontal="left"/>
      <protection/>
    </xf>
    <xf numFmtId="0" fontId="1" fillId="0" borderId="0" xfId="48" applyFont="1" applyAlignment="1">
      <alignment horizontal="left"/>
      <protection/>
    </xf>
    <xf numFmtId="0" fontId="60" fillId="0" borderId="0" xfId="45" applyFont="1" applyAlignment="1">
      <alignment horizontal="left"/>
      <protection/>
    </xf>
    <xf numFmtId="0" fontId="1" fillId="0" borderId="0" xfId="45" applyFont="1" applyAlignment="1">
      <alignment horizontal="left"/>
      <protection/>
    </xf>
    <xf numFmtId="0" fontId="0" fillId="0" borderId="54" xfId="0" applyFont="1" applyBorder="1" applyAlignment="1">
      <alignment/>
    </xf>
    <xf numFmtId="0" fontId="2" fillId="0" borderId="3" xfId="0" applyFont="1" applyBorder="1" applyAlignment="1">
      <alignment horizontal="right"/>
    </xf>
    <xf numFmtId="0" fontId="2" fillId="0" borderId="3" xfId="48" applyFont="1" applyBorder="1" applyAlignment="1">
      <alignment horizontal="right"/>
      <protection/>
    </xf>
    <xf numFmtId="0" fontId="0" fillId="0" borderId="0" xfId="0" applyFont="1" applyBorder="1" applyAlignment="1">
      <alignment/>
    </xf>
    <xf numFmtId="3" fontId="0" fillId="0" borderId="54" xfId="48" applyNumberFormat="1" applyFont="1" applyBorder="1" applyAlignment="1">
      <alignment horizontal="right"/>
      <protection/>
    </xf>
    <xf numFmtId="0" fontId="71" fillId="0" borderId="0" xfId="0" applyFont="1" applyBorder="1" applyAlignment="1">
      <alignment horizontal="left"/>
    </xf>
    <xf numFmtId="0" fontId="60" fillId="0" borderId="0" xfId="0" applyFont="1" applyAlignment="1">
      <alignment horizontal="left"/>
    </xf>
    <xf numFmtId="0" fontId="1" fillId="0" borderId="0" xfId="0" applyFont="1" applyAlignment="1">
      <alignment horizontal="left"/>
    </xf>
    <xf numFmtId="49" fontId="60" fillId="0" borderId="0" xfId="0" applyNumberFormat="1" applyFont="1" applyAlignment="1">
      <alignment horizontal="left"/>
    </xf>
    <xf numFmtId="49" fontId="0" fillId="0" borderId="0" xfId="0" applyNumberFormat="1" applyFont="1" applyFill="1" applyBorder="1" applyAlignment="1">
      <alignment vertical="center"/>
    </xf>
    <xf numFmtId="0" fontId="3" fillId="0" borderId="0" xfId="0" applyFont="1" applyFill="1" applyBorder="1" applyAlignment="1" applyProtection="1">
      <alignment/>
      <protection/>
    </xf>
    <xf numFmtId="0" fontId="59" fillId="0" borderId="0" xfId="0" applyFont="1" applyFill="1" applyBorder="1" applyAlignment="1" applyProtection="1">
      <alignment/>
      <protection/>
    </xf>
    <xf numFmtId="0" fontId="21" fillId="5" borderId="51" xfId="0" applyFont="1" applyFill="1" applyBorder="1" applyAlignment="1">
      <alignment vertical="center"/>
    </xf>
    <xf numFmtId="189" fontId="21" fillId="5" borderId="18" xfId="0" applyNumberFormat="1" applyFont="1" applyFill="1" applyBorder="1" applyAlignment="1">
      <alignment vertical="center"/>
    </xf>
    <xf numFmtId="0" fontId="50" fillId="0" borderId="0" xfId="0" applyFont="1" applyAlignment="1">
      <alignment/>
    </xf>
    <xf numFmtId="3" fontId="0" fillId="0" borderId="0" xfId="0" applyNumberFormat="1" applyAlignment="1">
      <alignment/>
    </xf>
    <xf numFmtId="4" fontId="0" fillId="0" borderId="16" xfId="0" applyNumberFormat="1" applyFont="1" applyFill="1" applyBorder="1" applyAlignment="1">
      <alignment horizontal="right" vertical="center" wrapText="1"/>
    </xf>
    <xf numFmtId="0" fontId="0" fillId="0" borderId="15" xfId="0" applyFont="1" applyBorder="1" applyAlignment="1">
      <alignment horizontal="right"/>
    </xf>
    <xf numFmtId="0" fontId="0" fillId="0" borderId="16" xfId="0" applyBorder="1" applyAlignment="1">
      <alignment horizontal="right"/>
    </xf>
    <xf numFmtId="0" fontId="0" fillId="0" borderId="15" xfId="0" applyBorder="1" applyAlignment="1">
      <alignment horizontal="right"/>
    </xf>
    <xf numFmtId="4" fontId="8" fillId="0" borderId="9" xfId="0" applyNumberFormat="1" applyFont="1" applyFill="1" applyBorder="1" applyAlignment="1">
      <alignment horizontal="center" vertical="center"/>
    </xf>
    <xf numFmtId="214" fontId="0" fillId="0" borderId="19" xfId="0" applyNumberFormat="1" applyFill="1" applyBorder="1" applyAlignment="1">
      <alignment vertical="center"/>
    </xf>
    <xf numFmtId="214" fontId="0" fillId="0" borderId="9" xfId="0" applyNumberFormat="1" applyFill="1" applyBorder="1" applyAlignment="1">
      <alignment vertical="center"/>
    </xf>
    <xf numFmtId="0" fontId="2" fillId="0" borderId="0" xfId="0" applyFont="1" applyAlignment="1">
      <alignment horizontal="center"/>
    </xf>
    <xf numFmtId="0" fontId="0" fillId="0" borderId="7" xfId="0" applyBorder="1" applyAlignment="1">
      <alignment horizontal="center"/>
    </xf>
    <xf numFmtId="0" fontId="0" fillId="7" borderId="0" xfId="0" applyFill="1" applyAlignment="1">
      <alignment horizontal="right"/>
    </xf>
    <xf numFmtId="192" fontId="0" fillId="7" borderId="0" xfId="0" applyNumberFormat="1" applyFill="1" applyAlignment="1">
      <alignment horizontal="right"/>
    </xf>
    <xf numFmtId="184" fontId="0" fillId="7" borderId="0" xfId="0" applyNumberFormat="1" applyFill="1" applyAlignment="1">
      <alignment horizontal="right"/>
    </xf>
    <xf numFmtId="1" fontId="0" fillId="7" borderId="0" xfId="0" applyNumberFormat="1" applyFill="1" applyBorder="1" applyAlignment="1">
      <alignment/>
    </xf>
    <xf numFmtId="189" fontId="0" fillId="7" borderId="0" xfId="0" applyNumberFormat="1" applyFill="1" applyAlignment="1">
      <alignment/>
    </xf>
    <xf numFmtId="0" fontId="0" fillId="0" borderId="0" xfId="0" applyAlignment="1">
      <alignment horizontal="centerContinuous" wrapText="1"/>
    </xf>
    <xf numFmtId="0" fontId="0" fillId="0" borderId="0" xfId="0" applyAlignment="1">
      <alignment horizontal="left" wrapText="1"/>
    </xf>
    <xf numFmtId="0" fontId="2" fillId="0" borderId="0" xfId="0" applyFont="1" applyAlignment="1">
      <alignment horizontal="left" wrapText="1"/>
    </xf>
    <xf numFmtId="0" fontId="0" fillId="0" borderId="19" xfId="0" applyBorder="1" applyAlignment="1">
      <alignment horizontal="centerContinuous"/>
    </xf>
    <xf numFmtId="0" fontId="0" fillId="0" borderId="19" xfId="0" applyBorder="1" applyAlignment="1">
      <alignment horizontal="right"/>
    </xf>
    <xf numFmtId="0" fontId="0" fillId="0" borderId="17" xfId="0" applyBorder="1" applyAlignment="1">
      <alignment horizontal="centerContinuous"/>
    </xf>
    <xf numFmtId="0" fontId="0" fillId="0" borderId="17" xfId="0" applyBorder="1" applyAlignment="1">
      <alignment horizontal="right"/>
    </xf>
    <xf numFmtId="0" fontId="0" fillId="0" borderId="15" xfId="0" applyBorder="1" applyAlignment="1">
      <alignment/>
    </xf>
    <xf numFmtId="184" fontId="8" fillId="7" borderId="6" xfId="0" applyNumberFormat="1" applyFont="1" applyFill="1" applyBorder="1" applyAlignment="1">
      <alignment/>
    </xf>
    <xf numFmtId="4" fontId="0" fillId="0" borderId="0" xfId="0" applyNumberFormat="1" applyFont="1" applyFill="1" applyBorder="1" applyAlignment="1">
      <alignment horizontal="left" vertical="center"/>
    </xf>
    <xf numFmtId="0" fontId="2" fillId="7" borderId="0" xfId="0" applyFont="1" applyFill="1" applyAlignment="1">
      <alignment/>
    </xf>
    <xf numFmtId="0" fontId="0" fillId="0" borderId="0" xfId="0" applyBorder="1" applyAlignment="1">
      <alignment horizontal="center"/>
    </xf>
    <xf numFmtId="0" fontId="36" fillId="0" borderId="0" xfId="0" applyFont="1" applyAlignment="1">
      <alignment horizontal="left" wrapText="1"/>
    </xf>
    <xf numFmtId="0" fontId="18" fillId="10" borderId="0" xfId="0" applyFont="1" applyFill="1" applyAlignment="1">
      <alignment/>
    </xf>
    <xf numFmtId="0" fontId="21" fillId="5" borderId="20" xfId="0" applyFont="1" applyFill="1" applyBorder="1" applyAlignment="1">
      <alignment horizontal="center"/>
    </xf>
    <xf numFmtId="0" fontId="0" fillId="10" borderId="0" xfId="0" applyFill="1" applyAlignment="1">
      <alignment horizontal="center"/>
    </xf>
    <xf numFmtId="184" fontId="8" fillId="8" borderId="6" xfId="0" applyNumberFormat="1" applyFont="1" applyFill="1" applyBorder="1" applyAlignment="1">
      <alignment horizontal="center"/>
    </xf>
    <xf numFmtId="3" fontId="8" fillId="6" borderId="6" xfId="0" applyNumberFormat="1" applyFont="1" applyFill="1" applyBorder="1" applyAlignment="1" applyProtection="1">
      <alignment horizontal="center"/>
      <protection locked="0"/>
    </xf>
    <xf numFmtId="0" fontId="7" fillId="10" borderId="7" xfId="0" applyFont="1" applyFill="1" applyBorder="1" applyAlignment="1">
      <alignment horizontal="centerContinuous"/>
    </xf>
    <xf numFmtId="0" fontId="7" fillId="10" borderId="11" xfId="0" applyFont="1" applyFill="1" applyBorder="1" applyAlignment="1">
      <alignment horizontal="centerContinuous"/>
    </xf>
    <xf numFmtId="0" fontId="7" fillId="10" borderId="8" xfId="0" applyFont="1" applyFill="1" applyBorder="1" applyAlignment="1">
      <alignment horizontal="centerContinuous"/>
    </xf>
    <xf numFmtId="184" fontId="8" fillId="0" borderId="3" xfId="0" applyNumberFormat="1" applyFont="1" applyFill="1" applyBorder="1" applyAlignment="1" applyProtection="1">
      <alignment horizontal="right"/>
      <protection/>
    </xf>
    <xf numFmtId="0" fontId="8" fillId="10" borderId="16" xfId="0" applyFont="1" applyFill="1" applyBorder="1" applyAlignment="1">
      <alignment horizontal="center"/>
    </xf>
    <xf numFmtId="0" fontId="8" fillId="0" borderId="6" xfId="0" applyFont="1" applyFill="1" applyBorder="1" applyAlignment="1" applyProtection="1">
      <alignment/>
      <protection/>
    </xf>
    <xf numFmtId="0" fontId="5" fillId="0" borderId="0" xfId="41" applyAlignment="1">
      <alignment/>
    </xf>
    <xf numFmtId="0" fontId="0" fillId="0" borderId="0" xfId="0" applyFont="1" applyFill="1" applyBorder="1" applyAlignment="1">
      <alignment vertical="center"/>
    </xf>
    <xf numFmtId="0" fontId="2" fillId="0" borderId="0" xfId="0" applyFont="1" applyFill="1" applyBorder="1" applyAlignment="1">
      <alignment vertical="center"/>
    </xf>
    <xf numFmtId="0" fontId="20" fillId="0" borderId="0" xfId="0" applyFont="1" applyFill="1" applyBorder="1" applyAlignment="1">
      <alignment vertical="center"/>
    </xf>
    <xf numFmtId="4" fontId="0" fillId="0" borderId="0" xfId="48" applyNumberFormat="1" applyFont="1" applyBorder="1" applyAlignment="1">
      <alignment horizontal="right"/>
      <protection/>
    </xf>
    <xf numFmtId="0" fontId="75" fillId="0" borderId="0" xfId="48" applyFont="1" applyAlignment="1">
      <alignment horizontal="left"/>
      <protection/>
    </xf>
    <xf numFmtId="0" fontId="1" fillId="0" borderId="0" xfId="48" applyFont="1" applyAlignment="1">
      <alignment horizontal="right"/>
      <protection/>
    </xf>
    <xf numFmtId="189" fontId="1" fillId="0" borderId="0" xfId="48" applyNumberFormat="1" applyFont="1" applyAlignment="1">
      <alignment horizontal="right"/>
      <protection/>
    </xf>
    <xf numFmtId="184" fontId="1" fillId="0" borderId="0" xfId="48" applyNumberFormat="1" applyFont="1" applyAlignment="1">
      <alignment horizontal="left"/>
      <protection/>
    </xf>
    <xf numFmtId="184" fontId="1" fillId="0" borderId="0" xfId="48" applyNumberFormat="1" applyFont="1" applyAlignment="1">
      <alignment horizontal="right"/>
      <protection/>
    </xf>
    <xf numFmtId="0" fontId="8" fillId="5" borderId="56" xfId="0" applyFont="1" applyFill="1" applyBorder="1" applyAlignment="1" applyProtection="1">
      <alignment/>
      <protection/>
    </xf>
    <xf numFmtId="0" fontId="22" fillId="5" borderId="56" xfId="0" applyFont="1" applyFill="1" applyBorder="1" applyAlignment="1" applyProtection="1">
      <alignment vertical="center"/>
      <protection/>
    </xf>
    <xf numFmtId="0" fontId="23" fillId="5" borderId="56" xfId="0" applyFont="1" applyFill="1" applyBorder="1" applyAlignment="1" applyProtection="1">
      <alignment vertical="center"/>
      <protection/>
    </xf>
    <xf numFmtId="192" fontId="22" fillId="5" borderId="56" xfId="0" applyNumberFormat="1" applyFont="1" applyFill="1" applyBorder="1" applyAlignment="1" applyProtection="1">
      <alignment vertical="center"/>
      <protection/>
    </xf>
    <xf numFmtId="184" fontId="21" fillId="5" borderId="56" xfId="0" applyNumberFormat="1" applyFont="1" applyFill="1" applyBorder="1" applyAlignment="1" applyProtection="1">
      <alignment vertical="center"/>
      <protection/>
    </xf>
    <xf numFmtId="0" fontId="22" fillId="0" borderId="56" xfId="0" applyFont="1" applyFill="1" applyBorder="1" applyAlignment="1" applyProtection="1">
      <alignment vertical="center"/>
      <protection/>
    </xf>
    <xf numFmtId="0" fontId="8" fillId="10" borderId="54" xfId="0" applyFont="1" applyFill="1" applyBorder="1" applyAlignment="1" applyProtection="1">
      <alignment/>
      <protection/>
    </xf>
    <xf numFmtId="0" fontId="8" fillId="10" borderId="57" xfId="0" applyFont="1" applyFill="1" applyBorder="1" applyAlignment="1" applyProtection="1">
      <alignment horizontal="center"/>
      <protection/>
    </xf>
    <xf numFmtId="0" fontId="8" fillId="10" borderId="57" xfId="0" applyFont="1" applyFill="1" applyBorder="1" applyAlignment="1" applyProtection="1">
      <alignment horizontal="center"/>
      <protection/>
    </xf>
    <xf numFmtId="0" fontId="8" fillId="10" borderId="54" xfId="0" applyFont="1" applyFill="1" applyBorder="1" applyAlignment="1" applyProtection="1">
      <alignment/>
      <protection/>
    </xf>
    <xf numFmtId="0" fontId="60" fillId="0" borderId="0" xfId="48" applyFont="1" applyAlignment="1">
      <alignment horizontal="right"/>
      <protection/>
    </xf>
    <xf numFmtId="0" fontId="7" fillId="0" borderId="0" xfId="0" applyFont="1" applyFill="1" applyAlignment="1" applyProtection="1">
      <alignment horizontal="right"/>
      <protection/>
    </xf>
    <xf numFmtId="184" fontId="60" fillId="0" borderId="0" xfId="48" applyNumberFormat="1" applyFont="1" applyAlignment="1">
      <alignment horizontal="right"/>
      <protection/>
    </xf>
    <xf numFmtId="0" fontId="1" fillId="0" borderId="7" xfId="48" applyFont="1" applyBorder="1" applyAlignment="1">
      <alignment horizontal="left"/>
      <protection/>
    </xf>
    <xf numFmtId="184" fontId="1" fillId="0" borderId="11" xfId="48" applyNumberFormat="1" applyFont="1" applyBorder="1" applyAlignment="1">
      <alignment horizontal="right"/>
      <protection/>
    </xf>
    <xf numFmtId="184" fontId="1" fillId="0" borderId="8" xfId="48" applyNumberFormat="1" applyFont="1" applyBorder="1" applyAlignment="1">
      <alignment horizontal="right"/>
      <protection/>
    </xf>
    <xf numFmtId="0" fontId="1" fillId="0" borderId="19" xfId="48" applyFont="1" applyBorder="1" applyAlignment="1">
      <alignment horizontal="left"/>
      <protection/>
    </xf>
    <xf numFmtId="184" fontId="1" fillId="0" borderId="0" xfId="48" applyNumberFormat="1" applyFont="1" applyBorder="1" applyAlignment="1">
      <alignment horizontal="right"/>
      <protection/>
    </xf>
    <xf numFmtId="184" fontId="1" fillId="0" borderId="13" xfId="48" applyNumberFormat="1" applyFont="1" applyBorder="1" applyAlignment="1">
      <alignment horizontal="right"/>
      <protection/>
    </xf>
    <xf numFmtId="0" fontId="1" fillId="0" borderId="9" xfId="48" applyFont="1" applyBorder="1" applyAlignment="1">
      <alignment horizontal="left"/>
      <protection/>
    </xf>
    <xf numFmtId="184" fontId="8" fillId="0" borderId="10" xfId="0" applyNumberFormat="1" applyFont="1" applyFill="1" applyBorder="1" applyAlignment="1" applyProtection="1">
      <alignment horizontal="right"/>
      <protection/>
    </xf>
    <xf numFmtId="184" fontId="8" fillId="0" borderId="11" xfId="0" applyNumberFormat="1" applyFont="1" applyFill="1" applyBorder="1" applyAlignment="1" applyProtection="1">
      <alignment/>
      <protection/>
    </xf>
    <xf numFmtId="184" fontId="8" fillId="0" borderId="8" xfId="0" applyNumberFormat="1" applyFont="1" applyFill="1" applyBorder="1" applyAlignment="1" applyProtection="1">
      <alignment/>
      <protection/>
    </xf>
    <xf numFmtId="184" fontId="8" fillId="0" borderId="0" xfId="0" applyNumberFormat="1" applyFont="1" applyFill="1" applyBorder="1" applyAlignment="1" applyProtection="1">
      <alignment/>
      <protection/>
    </xf>
    <xf numFmtId="184" fontId="8" fillId="0" borderId="13" xfId="0" applyNumberFormat="1" applyFont="1" applyFill="1" applyBorder="1" applyAlignment="1" applyProtection="1">
      <alignment/>
      <protection/>
    </xf>
    <xf numFmtId="184" fontId="8" fillId="0" borderId="3" xfId="0" applyNumberFormat="1" applyFont="1" applyFill="1" applyBorder="1" applyAlignment="1" applyProtection="1">
      <alignment/>
      <protection/>
    </xf>
    <xf numFmtId="184" fontId="8" fillId="0" borderId="10" xfId="0" applyNumberFormat="1" applyFont="1" applyFill="1" applyBorder="1" applyAlignment="1" applyProtection="1">
      <alignment/>
      <protection/>
    </xf>
    <xf numFmtId="0" fontId="0" fillId="0" borderId="0" xfId="48" applyFont="1" applyFill="1" applyBorder="1" applyAlignment="1">
      <alignment horizontal="left"/>
      <protection/>
    </xf>
    <xf numFmtId="192" fontId="0" fillId="0" borderId="0" xfId="0" applyNumberFormat="1" applyAlignment="1">
      <alignment/>
    </xf>
    <xf numFmtId="0" fontId="8" fillId="0" borderId="0" xfId="0" applyFont="1" applyFill="1" applyAlignment="1" applyProtection="1">
      <alignment horizontal="left"/>
      <protection/>
    </xf>
    <xf numFmtId="184" fontId="1" fillId="7" borderId="13" xfId="48" applyNumberFormat="1" applyFont="1" applyFill="1" applyBorder="1" applyAlignment="1">
      <alignment horizontal="right"/>
      <protection/>
    </xf>
    <xf numFmtId="184" fontId="8" fillId="7" borderId="3" xfId="0" applyNumberFormat="1" applyFont="1" applyFill="1" applyBorder="1" applyAlignment="1" applyProtection="1">
      <alignment horizontal="right"/>
      <protection/>
    </xf>
    <xf numFmtId="184" fontId="8" fillId="7" borderId="0" xfId="0" applyNumberFormat="1" applyFont="1" applyFill="1" applyBorder="1" applyAlignment="1" applyProtection="1">
      <alignment/>
      <protection/>
    </xf>
    <xf numFmtId="184" fontId="8" fillId="7" borderId="11" xfId="0" applyNumberFormat="1" applyFont="1" applyFill="1" applyBorder="1" applyAlignment="1" applyProtection="1">
      <alignment/>
      <protection/>
    </xf>
    <xf numFmtId="0" fontId="0" fillId="7" borderId="0" xfId="0" applyFill="1" applyAlignment="1" applyProtection="1">
      <alignment horizontal="left"/>
      <protection/>
    </xf>
    <xf numFmtId="0" fontId="19" fillId="12" borderId="0" xfId="0" applyFont="1" applyFill="1" applyBorder="1" applyAlignment="1">
      <alignment vertical="center"/>
    </xf>
    <xf numFmtId="0" fontId="39" fillId="12" borderId="0" xfId="0" applyFont="1" applyFill="1" applyBorder="1" applyAlignment="1">
      <alignment vertical="center"/>
    </xf>
    <xf numFmtId="0" fontId="16" fillId="12" borderId="0" xfId="0" applyFont="1" applyFill="1" applyAlignment="1">
      <alignment vertical="center"/>
    </xf>
    <xf numFmtId="0" fontId="19" fillId="12" borderId="0" xfId="0" applyFont="1" applyFill="1" applyAlignment="1">
      <alignment vertical="center"/>
    </xf>
    <xf numFmtId="0" fontId="79" fillId="5" borderId="0" xfId="0" applyFont="1" applyFill="1" applyBorder="1" applyAlignment="1">
      <alignment vertical="top"/>
    </xf>
    <xf numFmtId="0" fontId="7" fillId="10" borderId="16" xfId="0" applyFont="1" applyFill="1" applyBorder="1" applyAlignment="1">
      <alignment/>
    </xf>
    <xf numFmtId="4" fontId="8" fillId="10" borderId="16" xfId="0" applyNumberFormat="1" applyFont="1" applyFill="1" applyBorder="1" applyAlignment="1">
      <alignment horizontal="center"/>
    </xf>
    <xf numFmtId="0" fontId="32" fillId="9" borderId="57" xfId="0" applyFont="1" applyFill="1" applyBorder="1" applyAlignment="1" applyProtection="1">
      <alignment/>
      <protection locked="0"/>
    </xf>
    <xf numFmtId="0" fontId="33" fillId="0" borderId="57" xfId="0" applyFont="1" applyFill="1" applyBorder="1" applyAlignment="1">
      <alignment/>
    </xf>
    <xf numFmtId="0" fontId="32" fillId="0" borderId="57" xfId="0" applyFont="1" applyFill="1" applyBorder="1" applyAlignment="1">
      <alignment/>
    </xf>
    <xf numFmtId="0" fontId="0" fillId="7" borderId="54" xfId="0" applyFill="1" applyBorder="1" applyAlignment="1">
      <alignment/>
    </xf>
    <xf numFmtId="0" fontId="32" fillId="6" borderId="57" xfId="0" applyFont="1" applyFill="1" applyBorder="1" applyAlignment="1" applyProtection="1">
      <alignment/>
      <protection locked="0"/>
    </xf>
    <xf numFmtId="4" fontId="56" fillId="8" borderId="57" xfId="0" applyNumberFormat="1" applyFont="1" applyFill="1" applyBorder="1" applyAlignment="1">
      <alignment/>
    </xf>
    <xf numFmtId="191" fontId="0" fillId="7" borderId="54" xfId="0" applyNumberFormat="1" applyFill="1" applyBorder="1" applyAlignment="1">
      <alignment horizontal="right"/>
    </xf>
    <xf numFmtId="189" fontId="59" fillId="8" borderId="15" xfId="0" applyNumberFormat="1" applyFont="1" applyFill="1" applyBorder="1" applyAlignment="1">
      <alignment/>
    </xf>
    <xf numFmtId="0" fontId="27" fillId="9" borderId="19" xfId="0" applyFont="1" applyFill="1" applyBorder="1" applyAlignment="1" applyProtection="1">
      <alignment/>
      <protection locked="0"/>
    </xf>
    <xf numFmtId="0" fontId="24" fillId="5" borderId="56" xfId="0" applyFont="1" applyFill="1" applyBorder="1" applyAlignment="1" applyProtection="1">
      <alignment horizontal="right" vertical="center"/>
      <protection/>
    </xf>
    <xf numFmtId="0" fontId="22" fillId="5" borderId="56" xfId="0" applyFont="1" applyFill="1" applyBorder="1" applyAlignment="1">
      <alignment vertical="center"/>
    </xf>
    <xf numFmtId="0" fontId="23" fillId="5" borderId="56" xfId="0" applyFont="1" applyFill="1" applyBorder="1" applyAlignment="1">
      <alignment vertical="center"/>
    </xf>
    <xf numFmtId="192" fontId="22" fillId="5" borderId="56" xfId="0" applyNumberFormat="1" applyFont="1" applyFill="1" applyBorder="1" applyAlignment="1">
      <alignment vertical="center"/>
    </xf>
    <xf numFmtId="4" fontId="21" fillId="5" borderId="56" xfId="0" applyNumberFormat="1" applyFont="1" applyFill="1" applyBorder="1" applyAlignment="1">
      <alignment vertical="center"/>
    </xf>
    <xf numFmtId="1" fontId="22" fillId="5" borderId="56" xfId="0" applyNumberFormat="1" applyFont="1" applyFill="1" applyBorder="1" applyAlignment="1">
      <alignment vertical="center"/>
    </xf>
    <xf numFmtId="189" fontId="21" fillId="5" borderId="56" xfId="0" applyNumberFormat="1" applyFont="1" applyFill="1" applyBorder="1" applyAlignment="1">
      <alignment vertical="center"/>
    </xf>
    <xf numFmtId="0" fontId="22" fillId="0" borderId="56" xfId="0" applyFont="1" applyFill="1" applyBorder="1" applyAlignment="1">
      <alignment vertical="center"/>
    </xf>
    <xf numFmtId="0" fontId="27" fillId="0" borderId="49" xfId="0" applyFont="1" applyFill="1" applyBorder="1" applyAlignment="1" applyProtection="1">
      <alignment/>
      <protection/>
    </xf>
    <xf numFmtId="0" fontId="27" fillId="0" borderId="6" xfId="0" applyFont="1" applyFill="1" applyBorder="1" applyAlignment="1" applyProtection="1">
      <alignment/>
      <protection/>
    </xf>
    <xf numFmtId="0" fontId="27" fillId="0" borderId="16" xfId="0" applyFont="1" applyFill="1" applyBorder="1" applyAlignment="1" applyProtection="1">
      <alignment/>
      <protection/>
    </xf>
    <xf numFmtId="0" fontId="27" fillId="0" borderId="15" xfId="0" applyFont="1" applyFill="1" applyBorder="1" applyAlignment="1" applyProtection="1">
      <alignment/>
      <protection/>
    </xf>
    <xf numFmtId="0" fontId="27" fillId="0" borderId="57" xfId="0" applyFont="1" applyFill="1" applyBorder="1" applyAlignment="1" applyProtection="1">
      <alignment/>
      <protection/>
    </xf>
    <xf numFmtId="0" fontId="30" fillId="9" borderId="6" xfId="0" applyFont="1" applyFill="1" applyBorder="1" applyAlignment="1" applyProtection="1">
      <alignment/>
      <protection locked="0"/>
    </xf>
    <xf numFmtId="0" fontId="30" fillId="9" borderId="16" xfId="0" applyFont="1" applyFill="1" applyBorder="1" applyAlignment="1" applyProtection="1">
      <alignment/>
      <protection locked="0"/>
    </xf>
    <xf numFmtId="0" fontId="30" fillId="9" borderId="15" xfId="0" applyFont="1" applyFill="1" applyBorder="1" applyAlignment="1" applyProtection="1">
      <alignment/>
      <protection locked="0"/>
    </xf>
    <xf numFmtId="0" fontId="30" fillId="9" borderId="57" xfId="0" applyFont="1" applyFill="1" applyBorder="1" applyAlignment="1" applyProtection="1">
      <alignment/>
      <protection locked="0"/>
    </xf>
    <xf numFmtId="3" fontId="30" fillId="9" borderId="15" xfId="0" applyNumberFormat="1" applyFont="1" applyFill="1" applyBorder="1" applyAlignment="1" applyProtection="1">
      <alignment/>
      <protection locked="0"/>
    </xf>
    <xf numFmtId="0" fontId="7" fillId="10" borderId="7" xfId="0" applyFont="1" applyFill="1" applyBorder="1" applyAlignment="1" applyProtection="1">
      <alignment/>
      <protection/>
    </xf>
    <xf numFmtId="0" fontId="7" fillId="10" borderId="8" xfId="0" applyFont="1" applyFill="1" applyBorder="1" applyAlignment="1" applyProtection="1">
      <alignment/>
      <protection/>
    </xf>
    <xf numFmtId="0" fontId="7" fillId="10" borderId="13" xfId="0" applyFont="1" applyFill="1" applyBorder="1" applyAlignment="1" applyProtection="1">
      <alignment horizontal="center"/>
      <protection/>
    </xf>
    <xf numFmtId="0" fontId="7" fillId="10" borderId="58" xfId="0" applyFont="1" applyFill="1" applyBorder="1" applyAlignment="1" applyProtection="1">
      <alignment horizontal="center"/>
      <protection/>
    </xf>
    <xf numFmtId="0" fontId="27" fillId="10" borderId="39" xfId="0" applyFont="1" applyFill="1" applyBorder="1" applyAlignment="1" applyProtection="1">
      <alignment/>
      <protection/>
    </xf>
    <xf numFmtId="0" fontId="27" fillId="10" borderId="40" xfId="0" applyFont="1" applyFill="1" applyBorder="1" applyAlignment="1" applyProtection="1">
      <alignment/>
      <protection/>
    </xf>
    <xf numFmtId="0" fontId="27" fillId="6" borderId="39" xfId="0" applyFont="1" applyFill="1" applyBorder="1" applyAlignment="1" applyProtection="1">
      <alignment/>
      <protection/>
    </xf>
    <xf numFmtId="0" fontId="27" fillId="6" borderId="40" xfId="0" applyFont="1" applyFill="1" applyBorder="1" applyAlignment="1" applyProtection="1">
      <alignment/>
      <protection/>
    </xf>
    <xf numFmtId="0" fontId="27" fillId="6" borderId="10" xfId="0" applyFont="1" applyFill="1" applyBorder="1" applyAlignment="1" applyProtection="1">
      <alignment/>
      <protection/>
    </xf>
    <xf numFmtId="0" fontId="27" fillId="9" borderId="39" xfId="0" applyFont="1" applyFill="1" applyBorder="1" applyAlignment="1" applyProtection="1">
      <alignment/>
      <protection locked="0"/>
    </xf>
    <xf numFmtId="0" fontId="27" fillId="9" borderId="40" xfId="0" applyFont="1" applyFill="1" applyBorder="1" applyAlignment="1" applyProtection="1">
      <alignment/>
      <protection locked="0"/>
    </xf>
    <xf numFmtId="0" fontId="8" fillId="0" borderId="41" xfId="0" applyFont="1" applyFill="1" applyBorder="1" applyAlignment="1" applyProtection="1">
      <alignment/>
      <protection/>
    </xf>
    <xf numFmtId="0" fontId="27" fillId="0" borderId="41" xfId="0" applyFont="1" applyFill="1" applyBorder="1" applyAlignment="1" applyProtection="1">
      <alignment/>
      <protection/>
    </xf>
    <xf numFmtId="0" fontId="8" fillId="0" borderId="59" xfId="0" applyFont="1" applyFill="1" applyBorder="1" applyAlignment="1" applyProtection="1">
      <alignment/>
      <protection/>
    </xf>
    <xf numFmtId="0" fontId="27" fillId="0" borderId="59" xfId="0" applyFont="1" applyFill="1" applyBorder="1" applyAlignment="1" applyProtection="1">
      <alignment/>
      <protection/>
    </xf>
    <xf numFmtId="0" fontId="27" fillId="6" borderId="9" xfId="0" applyFont="1" applyFill="1" applyBorder="1" applyAlignment="1" applyProtection="1">
      <alignment/>
      <protection/>
    </xf>
    <xf numFmtId="0" fontId="30" fillId="6" borderId="15" xfId="0" applyFont="1" applyFill="1" applyBorder="1" applyAlignment="1" applyProtection="1">
      <alignment/>
      <protection locked="0"/>
    </xf>
    <xf numFmtId="0" fontId="27" fillId="6" borderId="9" xfId="0" applyFont="1" applyFill="1" applyBorder="1" applyAlignment="1" applyProtection="1">
      <alignment/>
      <protection locked="0"/>
    </xf>
    <xf numFmtId="0" fontId="27" fillId="13" borderId="39" xfId="0" applyFont="1" applyFill="1" applyBorder="1" applyAlignment="1" applyProtection="1">
      <alignment/>
      <protection/>
    </xf>
    <xf numFmtId="0" fontId="27" fillId="13" borderId="10" xfId="0" applyFont="1" applyFill="1" applyBorder="1" applyAlignment="1" applyProtection="1">
      <alignment/>
      <protection/>
    </xf>
    <xf numFmtId="0" fontId="27" fillId="13" borderId="60" xfId="0" applyFont="1" applyFill="1" applyBorder="1" applyAlignment="1" applyProtection="1">
      <alignment/>
      <protection/>
    </xf>
    <xf numFmtId="0" fontId="27" fillId="13" borderId="58" xfId="0" applyFont="1" applyFill="1" applyBorder="1" applyAlignment="1" applyProtection="1">
      <alignment/>
      <protection/>
    </xf>
    <xf numFmtId="0" fontId="27" fillId="13" borderId="40" xfId="0" applyFont="1" applyFill="1" applyBorder="1" applyAlignment="1" applyProtection="1">
      <alignment/>
      <protection/>
    </xf>
    <xf numFmtId="0" fontId="27" fillId="13" borderId="16" xfId="0" applyFont="1" applyFill="1" applyBorder="1" applyAlignment="1" applyProtection="1">
      <alignment/>
      <protection/>
    </xf>
    <xf numFmtId="0" fontId="27" fillId="13" borderId="6" xfId="0" applyFont="1" applyFill="1" applyBorder="1" applyAlignment="1" applyProtection="1">
      <alignment/>
      <protection/>
    </xf>
    <xf numFmtId="0" fontId="27" fillId="13" borderId="15" xfId="0" applyFont="1" applyFill="1" applyBorder="1" applyAlignment="1" applyProtection="1">
      <alignment/>
      <protection/>
    </xf>
    <xf numFmtId="0" fontId="27" fillId="13" borderId="8" xfId="0" applyFont="1" applyFill="1" applyBorder="1" applyAlignment="1" applyProtection="1">
      <alignment/>
      <protection/>
    </xf>
    <xf numFmtId="0" fontId="27" fillId="13" borderId="9" xfId="0" applyFont="1" applyFill="1" applyBorder="1" applyAlignment="1" applyProtection="1">
      <alignment/>
      <protection/>
    </xf>
    <xf numFmtId="0" fontId="27" fillId="13" borderId="61" xfId="0" applyFont="1" applyFill="1" applyBorder="1" applyAlignment="1" applyProtection="1">
      <alignment/>
      <protection/>
    </xf>
    <xf numFmtId="215" fontId="8" fillId="13" borderId="62" xfId="0" applyNumberFormat="1" applyFont="1" applyFill="1" applyBorder="1" applyAlignment="1">
      <alignment horizontal="center"/>
    </xf>
    <xf numFmtId="215" fontId="8" fillId="13" borderId="40" xfId="0" applyNumberFormat="1" applyFont="1" applyFill="1" applyBorder="1" applyAlignment="1">
      <alignment horizontal="center"/>
    </xf>
    <xf numFmtId="215" fontId="8" fillId="13" borderId="10" xfId="0" applyNumberFormat="1" applyFont="1" applyFill="1" applyBorder="1" applyAlignment="1">
      <alignment horizontal="center"/>
    </xf>
    <xf numFmtId="0" fontId="27" fillId="13" borderId="7" xfId="0" applyFont="1" applyFill="1" applyBorder="1" applyAlignment="1" applyProtection="1">
      <alignment/>
      <protection/>
    </xf>
    <xf numFmtId="215" fontId="27" fillId="13" borderId="8" xfId="0" applyNumberFormat="1" applyFont="1" applyFill="1" applyBorder="1" applyAlignment="1" applyProtection="1">
      <alignment/>
      <protection/>
    </xf>
    <xf numFmtId="0" fontId="27" fillId="13" borderId="19" xfId="0" applyFont="1" applyFill="1" applyBorder="1" applyAlignment="1" applyProtection="1">
      <alignment/>
      <protection/>
    </xf>
    <xf numFmtId="0" fontId="27" fillId="0" borderId="17" xfId="0" applyFont="1" applyFill="1" applyBorder="1" applyAlignment="1" applyProtection="1">
      <alignment/>
      <protection/>
    </xf>
    <xf numFmtId="192" fontId="27" fillId="7" borderId="17" xfId="0" applyNumberFormat="1" applyFont="1" applyFill="1" applyBorder="1" applyAlignment="1" applyProtection="1">
      <alignment/>
      <protection/>
    </xf>
    <xf numFmtId="0" fontId="27" fillId="9" borderId="41" xfId="0" applyFont="1" applyFill="1" applyBorder="1" applyAlignment="1" applyProtection="1">
      <alignment/>
      <protection locked="0"/>
    </xf>
    <xf numFmtId="215" fontId="8" fillId="13" borderId="13" xfId="0" applyNumberFormat="1" applyFont="1" applyFill="1" applyBorder="1" applyAlignment="1">
      <alignment horizontal="center"/>
    </xf>
    <xf numFmtId="0" fontId="27" fillId="9" borderId="63" xfId="0" applyFont="1" applyFill="1" applyBorder="1" applyAlignment="1" applyProtection="1">
      <alignment/>
      <protection locked="0"/>
    </xf>
    <xf numFmtId="0" fontId="27" fillId="13" borderId="64" xfId="0" applyFont="1" applyFill="1" applyBorder="1" applyAlignment="1" applyProtection="1">
      <alignment/>
      <protection/>
    </xf>
    <xf numFmtId="215" fontId="8" fillId="13" borderId="65" xfId="0" applyNumberFormat="1" applyFont="1" applyFill="1" applyBorder="1" applyAlignment="1">
      <alignment horizontal="center"/>
    </xf>
    <xf numFmtId="0" fontId="27" fillId="0" borderId="63" xfId="0" applyFont="1" applyFill="1" applyBorder="1" applyAlignment="1" applyProtection="1">
      <alignment/>
      <protection/>
    </xf>
    <xf numFmtId="192" fontId="27" fillId="7" borderId="63" xfId="0" applyNumberFormat="1" applyFont="1" applyFill="1" applyBorder="1" applyAlignment="1" applyProtection="1">
      <alignment/>
      <protection/>
    </xf>
    <xf numFmtId="0" fontId="27" fillId="6" borderId="63" xfId="0" applyFont="1" applyFill="1" applyBorder="1" applyAlignment="1" applyProtection="1">
      <alignment/>
      <protection locked="0"/>
    </xf>
    <xf numFmtId="0" fontId="30" fillId="9" borderId="17" xfId="0" applyFont="1" applyFill="1" applyBorder="1" applyAlignment="1" applyProtection="1">
      <alignment/>
      <protection locked="0"/>
    </xf>
    <xf numFmtId="215" fontId="8" fillId="13" borderId="8" xfId="0" applyNumberFormat="1" applyFont="1" applyFill="1" applyBorder="1" applyAlignment="1">
      <alignment horizontal="center"/>
    </xf>
    <xf numFmtId="0" fontId="30" fillId="9" borderId="49" xfId="0" applyFont="1" applyFill="1" applyBorder="1" applyAlignment="1" applyProtection="1">
      <alignment/>
      <protection locked="0"/>
    </xf>
    <xf numFmtId="0" fontId="27" fillId="13" borderId="62" xfId="0" applyFont="1" applyFill="1" applyBorder="1" applyAlignment="1" applyProtection="1">
      <alignment/>
      <protection/>
    </xf>
    <xf numFmtId="0" fontId="80" fillId="10" borderId="6" xfId="0" applyFont="1" applyFill="1" applyBorder="1" applyAlignment="1" applyProtection="1">
      <alignment vertical="center"/>
      <protection/>
    </xf>
    <xf numFmtId="0" fontId="80" fillId="10" borderId="16" xfId="0" applyFont="1" applyFill="1" applyBorder="1" applyAlignment="1" applyProtection="1">
      <alignment vertical="center"/>
      <protection/>
    </xf>
    <xf numFmtId="191" fontId="0" fillId="14" borderId="0" xfId="0" applyNumberFormat="1" applyFill="1" applyBorder="1" applyAlignment="1">
      <alignment horizontal="centerContinuous"/>
    </xf>
    <xf numFmtId="191" fontId="2" fillId="14" borderId="19" xfId="0" applyNumberFormat="1" applyFont="1" applyFill="1" applyBorder="1" applyAlignment="1">
      <alignment horizontal="centerContinuous"/>
    </xf>
    <xf numFmtId="191" fontId="0" fillId="14" borderId="0" xfId="0" applyNumberFormat="1" applyFill="1" applyBorder="1" applyAlignment="1">
      <alignment horizontal="center"/>
    </xf>
    <xf numFmtId="191" fontId="0" fillId="0" borderId="19" xfId="0" applyNumberFormat="1" applyBorder="1" applyAlignment="1">
      <alignment/>
    </xf>
    <xf numFmtId="191" fontId="2" fillId="0" borderId="0" xfId="0" applyNumberFormat="1" applyFont="1" applyBorder="1" applyAlignment="1">
      <alignment/>
    </xf>
    <xf numFmtId="191" fontId="0" fillId="14" borderId="13" xfId="0" applyNumberFormat="1" applyFill="1" applyBorder="1" applyAlignment="1">
      <alignment horizontal="centerContinuous"/>
    </xf>
    <xf numFmtId="191" fontId="2" fillId="14" borderId="13" xfId="0" applyNumberFormat="1" applyFont="1" applyFill="1" applyBorder="1" applyAlignment="1">
      <alignment horizontal="centerContinuous"/>
    </xf>
    <xf numFmtId="0" fontId="0" fillId="14" borderId="13" xfId="0" applyFill="1" applyBorder="1" applyAlignment="1">
      <alignment/>
    </xf>
    <xf numFmtId="0" fontId="27" fillId="14" borderId="66" xfId="0" applyFont="1" applyFill="1" applyBorder="1" applyAlignment="1" applyProtection="1">
      <alignment/>
      <protection/>
    </xf>
    <xf numFmtId="0" fontId="27" fillId="14" borderId="8" xfId="0" applyFont="1" applyFill="1" applyBorder="1" applyAlignment="1" applyProtection="1">
      <alignment/>
      <protection/>
    </xf>
    <xf numFmtId="0" fontId="27" fillId="14" borderId="0" xfId="0" applyFont="1" applyFill="1" applyAlignment="1" applyProtection="1">
      <alignment/>
      <protection/>
    </xf>
    <xf numFmtId="0" fontId="27" fillId="14" borderId="10" xfId="0" applyFont="1" applyFill="1" applyBorder="1" applyAlignment="1" applyProtection="1">
      <alignment/>
      <protection/>
    </xf>
    <xf numFmtId="0" fontId="8" fillId="14" borderId="53" xfId="0" applyFont="1" applyFill="1" applyBorder="1" applyAlignment="1" applyProtection="1">
      <alignment vertical="center"/>
      <protection/>
    </xf>
    <xf numFmtId="0" fontId="8" fillId="14" borderId="18" xfId="0" applyFont="1" applyFill="1" applyBorder="1" applyAlignment="1" applyProtection="1">
      <alignment vertical="center"/>
      <protection/>
    </xf>
    <xf numFmtId="0" fontId="8" fillId="14" borderId="53" xfId="0" applyFont="1" applyFill="1" applyBorder="1" applyAlignment="1" applyProtection="1">
      <alignment horizontal="right" vertical="center"/>
      <protection/>
    </xf>
    <xf numFmtId="0" fontId="27" fillId="13" borderId="13" xfId="0" applyFont="1" applyFill="1" applyBorder="1" applyAlignment="1" applyProtection="1">
      <alignment/>
      <protection/>
    </xf>
    <xf numFmtId="0" fontId="24" fillId="0" borderId="0" xfId="0" applyFont="1" applyFill="1" applyBorder="1" applyAlignment="1" applyProtection="1">
      <alignment horizontal="right" vertical="center"/>
      <protection/>
    </xf>
    <xf numFmtId="0" fontId="25" fillId="0" borderId="0" xfId="0" applyFont="1" applyFill="1" applyBorder="1" applyAlignment="1">
      <alignment vertical="center"/>
    </xf>
    <xf numFmtId="0" fontId="7" fillId="0" borderId="0" xfId="0" applyFont="1" applyFill="1" applyAlignment="1" applyProtection="1">
      <alignment/>
      <protection/>
    </xf>
    <xf numFmtId="4" fontId="44" fillId="5" borderId="0" xfId="0" applyNumberFormat="1" applyFont="1" applyFill="1" applyBorder="1" applyAlignment="1">
      <alignment horizontal="left"/>
    </xf>
    <xf numFmtId="4" fontId="43" fillId="5" borderId="0" xfId="0" applyNumberFormat="1" applyFont="1" applyFill="1" applyBorder="1" applyAlignment="1">
      <alignment vertical="top"/>
    </xf>
    <xf numFmtId="4" fontId="7" fillId="10" borderId="0" xfId="0" applyNumberFormat="1" applyFont="1" applyFill="1" applyAlignment="1">
      <alignment horizontal="center"/>
    </xf>
    <xf numFmtId="4" fontId="7" fillId="10" borderId="39" xfId="0" applyNumberFormat="1" applyFont="1" applyFill="1" applyBorder="1" applyAlignment="1">
      <alignment horizontal="centerContinuous"/>
    </xf>
    <xf numFmtId="4" fontId="7" fillId="10" borderId="19" xfId="0" applyNumberFormat="1" applyFont="1" applyFill="1" applyBorder="1" applyAlignment="1">
      <alignment/>
    </xf>
    <xf numFmtId="4" fontId="7" fillId="10" borderId="19" xfId="0" applyNumberFormat="1" applyFont="1" applyFill="1" applyBorder="1" applyAlignment="1">
      <alignment horizontal="center"/>
    </xf>
    <xf numFmtId="4" fontId="22" fillId="5" borderId="18" xfId="0" applyNumberFormat="1" applyFont="1" applyFill="1" applyBorder="1" applyAlignment="1">
      <alignment vertical="center"/>
    </xf>
    <xf numFmtId="4" fontId="32" fillId="9" borderId="57" xfId="0" applyNumberFormat="1" applyFont="1" applyFill="1" applyBorder="1" applyAlignment="1" applyProtection="1">
      <alignment/>
      <protection locked="0"/>
    </xf>
    <xf numFmtId="4" fontId="27" fillId="9" borderId="6" xfId="0" applyNumberFormat="1" applyFont="1" applyFill="1" applyBorder="1" applyAlignment="1" applyProtection="1">
      <alignment/>
      <protection locked="0"/>
    </xf>
    <xf numFmtId="4" fontId="27" fillId="9" borderId="14" xfId="0" applyNumberFormat="1" applyFont="1" applyFill="1" applyBorder="1" applyAlignment="1" applyProtection="1">
      <alignment/>
      <protection locked="0"/>
    </xf>
    <xf numFmtId="4" fontId="27" fillId="9" borderId="15" xfId="0" applyNumberFormat="1" applyFont="1" applyFill="1" applyBorder="1" applyAlignment="1" applyProtection="1">
      <alignment/>
      <protection locked="0"/>
    </xf>
    <xf numFmtId="4" fontId="27" fillId="9" borderId="16" xfId="0" applyNumberFormat="1" applyFont="1" applyFill="1" applyBorder="1" applyAlignment="1" applyProtection="1">
      <alignment/>
      <protection locked="0"/>
    </xf>
    <xf numFmtId="4" fontId="27" fillId="9" borderId="0" xfId="0" applyNumberFormat="1" applyFont="1" applyFill="1" applyBorder="1" applyAlignment="1">
      <alignment/>
    </xf>
    <xf numFmtId="4" fontId="22" fillId="5" borderId="56" xfId="0" applyNumberFormat="1" applyFont="1" applyFill="1" applyBorder="1" applyAlignment="1">
      <alignment vertical="center"/>
    </xf>
    <xf numFmtId="4" fontId="0" fillId="0" borderId="0" xfId="0" applyNumberFormat="1" applyAlignment="1">
      <alignment/>
    </xf>
    <xf numFmtId="0" fontId="27" fillId="9" borderId="6" xfId="0" applyFont="1" applyFill="1" applyBorder="1" applyAlignment="1" applyProtection="1">
      <alignment horizontal="right"/>
      <protection locked="0"/>
    </xf>
    <xf numFmtId="0" fontId="27" fillId="13" borderId="17" xfId="0" applyFont="1" applyFill="1" applyBorder="1" applyAlignment="1" applyProtection="1">
      <alignment/>
      <protection/>
    </xf>
    <xf numFmtId="0" fontId="27" fillId="13" borderId="14" xfId="0" applyFont="1" applyFill="1" applyBorder="1" applyAlignment="1" applyProtection="1">
      <alignment/>
      <protection/>
    </xf>
    <xf numFmtId="0" fontId="25" fillId="0" borderId="0" xfId="0" applyFont="1" applyFill="1" applyBorder="1" applyAlignment="1">
      <alignment/>
    </xf>
    <xf numFmtId="0" fontId="54" fillId="0" borderId="0" xfId="0" applyFont="1" applyFill="1" applyBorder="1" applyAlignment="1">
      <alignment/>
    </xf>
    <xf numFmtId="2" fontId="0" fillId="15" borderId="47"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192" fontId="0" fillId="13" borderId="6" xfId="0" applyNumberFormat="1" applyFont="1" applyFill="1" applyBorder="1" applyAlignment="1">
      <alignment horizontal="center" vertical="center"/>
    </xf>
    <xf numFmtId="2" fontId="0" fillId="0" borderId="6" xfId="0" applyNumberFormat="1" applyFont="1" applyFill="1" applyBorder="1" applyAlignment="1" applyProtection="1">
      <alignment horizontal="center" vertical="center"/>
      <protection/>
    </xf>
    <xf numFmtId="192" fontId="0" fillId="0" borderId="6" xfId="0" applyNumberFormat="1" applyFont="1" applyFill="1" applyBorder="1" applyAlignment="1">
      <alignment horizontal="center" vertical="center" wrapText="1"/>
    </xf>
    <xf numFmtId="2" fontId="0" fillId="15" borderId="0" xfId="0" applyNumberFormat="1" applyFont="1" applyFill="1" applyBorder="1" applyAlignment="1">
      <alignment horizontal="center" vertical="center" wrapText="1"/>
    </xf>
    <xf numFmtId="2" fontId="0" fillId="15" borderId="0" xfId="0" applyNumberFormat="1" applyFont="1" applyFill="1" applyBorder="1" applyAlignment="1" applyProtection="1">
      <alignment horizontal="center" vertical="center"/>
      <protection/>
    </xf>
    <xf numFmtId="192" fontId="0" fillId="15" borderId="0" xfId="0" applyNumberFormat="1" applyFont="1" applyFill="1" applyBorder="1" applyAlignment="1">
      <alignment horizontal="left" vertical="center" wrapText="1"/>
    </xf>
    <xf numFmtId="0" fontId="25" fillId="0" borderId="53" xfId="0" applyFont="1" applyFill="1" applyBorder="1" applyAlignment="1">
      <alignment/>
    </xf>
    <xf numFmtId="2" fontId="2" fillId="0" borderId="40" xfId="0" applyNumberFormat="1" applyFont="1" applyFill="1" applyBorder="1" applyAlignment="1">
      <alignment horizontal="center" vertical="center"/>
    </xf>
    <xf numFmtId="192" fontId="0" fillId="0" borderId="0" xfId="0" applyNumberFormat="1" applyBorder="1" applyAlignment="1">
      <alignment vertical="center"/>
    </xf>
    <xf numFmtId="0" fontId="0" fillId="0" borderId="0" xfId="0" applyFont="1" applyAlignment="1">
      <alignment vertical="center"/>
    </xf>
    <xf numFmtId="192" fontId="0" fillId="0" borderId="6" xfId="0" applyNumberFormat="1" applyBorder="1" applyAlignment="1">
      <alignment vertical="center"/>
    </xf>
    <xf numFmtId="2" fontId="2" fillId="15" borderId="6" xfId="0" applyNumberFormat="1" applyFont="1" applyFill="1" applyBorder="1" applyAlignment="1">
      <alignment horizontal="center" vertical="center"/>
    </xf>
    <xf numFmtId="2" fontId="2" fillId="15" borderId="39" xfId="0" applyNumberFormat="1" applyFont="1" applyFill="1" applyBorder="1" applyAlignment="1">
      <alignment horizontal="center" vertical="center" wrapText="1"/>
    </xf>
    <xf numFmtId="2" fontId="2" fillId="15" borderId="40" xfId="0" applyNumberFormat="1" applyFont="1" applyFill="1" applyBorder="1" applyAlignment="1">
      <alignment horizontal="center" vertical="center"/>
    </xf>
    <xf numFmtId="2" fontId="2" fillId="15" borderId="6" xfId="0" applyNumberFormat="1" applyFont="1" applyFill="1" applyBorder="1" applyAlignment="1">
      <alignment horizontal="center" vertical="center" wrapText="1"/>
    </xf>
    <xf numFmtId="2" fontId="0" fillId="15" borderId="6" xfId="0" applyNumberFormat="1" applyFont="1" applyFill="1" applyBorder="1" applyAlignment="1">
      <alignment horizontal="center" vertical="center"/>
    </xf>
    <xf numFmtId="192" fontId="0" fillId="15" borderId="6" xfId="0" applyNumberFormat="1" applyFont="1" applyFill="1" applyBorder="1" applyAlignment="1">
      <alignment horizontal="center" vertical="center"/>
    </xf>
    <xf numFmtId="0" fontId="0" fillId="15" borderId="6" xfId="0" applyFill="1" applyBorder="1" applyAlignment="1">
      <alignment horizontal="center" vertical="center" wrapText="1"/>
    </xf>
    <xf numFmtId="2" fontId="0" fillId="15" borderId="6" xfId="0" applyNumberFormat="1" applyFont="1" applyFill="1" applyBorder="1" applyAlignment="1">
      <alignment horizontal="center" vertical="center" wrapText="1"/>
    </xf>
    <xf numFmtId="192" fontId="0" fillId="15" borderId="6" xfId="0" applyNumberFormat="1" applyFont="1" applyFill="1" applyBorder="1" applyAlignment="1">
      <alignment horizontal="center" vertical="center" wrapText="1"/>
    </xf>
    <xf numFmtId="2" fontId="2" fillId="15" borderId="6" xfId="0" applyNumberFormat="1" applyFont="1" applyFill="1" applyBorder="1" applyAlignment="1" applyProtection="1">
      <alignment horizontal="center" vertical="center" wrapText="1"/>
      <protection/>
    </xf>
    <xf numFmtId="2" fontId="0" fillId="15" borderId="6" xfId="0" applyNumberFormat="1" applyFont="1" applyFill="1" applyBorder="1" applyAlignment="1" applyProtection="1">
      <alignment horizontal="center" vertical="center"/>
      <protection/>
    </xf>
    <xf numFmtId="0" fontId="83" fillId="0" borderId="0" xfId="0" applyFont="1" applyFill="1" applyBorder="1" applyAlignment="1">
      <alignment/>
    </xf>
    <xf numFmtId="192" fontId="0" fillId="0" borderId="6" xfId="0" applyNumberFormat="1" applyFont="1" applyFill="1" applyBorder="1" applyAlignment="1">
      <alignment horizontal="center" vertical="center"/>
    </xf>
    <xf numFmtId="0" fontId="2" fillId="0" borderId="19" xfId="0" applyFont="1" applyFill="1" applyBorder="1" applyAlignment="1">
      <alignment/>
    </xf>
    <xf numFmtId="2" fontId="2" fillId="0" borderId="0"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2" fontId="18" fillId="15" borderId="48" xfId="0" applyNumberFormat="1"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Font="1" applyFill="1" applyAlignment="1">
      <alignment horizontal="left" vertical="center"/>
    </xf>
    <xf numFmtId="0" fontId="21" fillId="16" borderId="0" xfId="0" applyFont="1" applyFill="1" applyBorder="1" applyAlignment="1">
      <alignment/>
    </xf>
    <xf numFmtId="0" fontId="84" fillId="5" borderId="67" xfId="0" applyFont="1" applyFill="1" applyBorder="1" applyAlignment="1">
      <alignment vertical="center"/>
    </xf>
    <xf numFmtId="0" fontId="43" fillId="16" borderId="68" xfId="0" applyFont="1" applyFill="1" applyBorder="1" applyAlignment="1">
      <alignment/>
    </xf>
    <xf numFmtId="0" fontId="42" fillId="5" borderId="69" xfId="0" applyFont="1" applyFill="1" applyBorder="1" applyAlignment="1">
      <alignment vertical="top"/>
    </xf>
    <xf numFmtId="0" fontId="42" fillId="5" borderId="70" xfId="0" applyFont="1" applyFill="1" applyBorder="1" applyAlignment="1">
      <alignment vertical="top"/>
    </xf>
    <xf numFmtId="0" fontId="27" fillId="16" borderId="71" xfId="0" applyFont="1" applyFill="1" applyBorder="1" applyAlignment="1">
      <alignment/>
    </xf>
    <xf numFmtId="0" fontId="27" fillId="16" borderId="72" xfId="0" applyFont="1" applyFill="1" applyBorder="1" applyAlignment="1">
      <alignment/>
    </xf>
    <xf numFmtId="0" fontId="21" fillId="16" borderId="73" xfId="0" applyFont="1" applyFill="1" applyBorder="1" applyAlignment="1">
      <alignment/>
    </xf>
    <xf numFmtId="0" fontId="27" fillId="16" borderId="74" xfId="0" applyFont="1" applyFill="1" applyBorder="1" applyAlignment="1">
      <alignment/>
    </xf>
    <xf numFmtId="3" fontId="27" fillId="6" borderId="75" xfId="0" applyNumberFormat="1" applyFont="1" applyFill="1" applyBorder="1" applyAlignment="1" applyProtection="1">
      <alignment/>
      <protection locked="0"/>
    </xf>
    <xf numFmtId="0" fontId="27" fillId="6" borderId="72" xfId="0" applyFont="1" applyFill="1" applyBorder="1" applyAlignment="1" applyProtection="1">
      <alignment/>
      <protection locked="0"/>
    </xf>
    <xf numFmtId="3" fontId="27" fillId="6" borderId="76" xfId="0" applyNumberFormat="1" applyFont="1" applyFill="1" applyBorder="1" applyAlignment="1" applyProtection="1">
      <alignment/>
      <protection locked="0"/>
    </xf>
    <xf numFmtId="0" fontId="85" fillId="5" borderId="56" xfId="0" applyFont="1" applyFill="1" applyBorder="1" applyAlignment="1">
      <alignment vertical="center"/>
    </xf>
    <xf numFmtId="0" fontId="43" fillId="16" borderId="68" xfId="0" applyFont="1" applyFill="1" applyBorder="1" applyAlignment="1" applyProtection="1">
      <alignment/>
      <protection/>
    </xf>
    <xf numFmtId="0" fontId="42" fillId="5" borderId="69" xfId="0" applyFont="1" applyFill="1" applyBorder="1" applyAlignment="1" applyProtection="1">
      <alignment vertical="top"/>
      <protection/>
    </xf>
    <xf numFmtId="0" fontId="21" fillId="16" borderId="0" xfId="0" applyFont="1" applyFill="1" applyBorder="1" applyAlignment="1" applyProtection="1">
      <alignment/>
      <protection/>
    </xf>
    <xf numFmtId="0" fontId="21" fillId="16" borderId="0" xfId="0" applyFont="1" applyFill="1" applyBorder="1" applyAlignment="1" applyProtection="1">
      <alignment horizontal="right"/>
      <protection/>
    </xf>
    <xf numFmtId="0" fontId="22" fillId="16" borderId="71" xfId="0" applyFont="1" applyFill="1" applyBorder="1" applyAlignment="1" applyProtection="1">
      <alignment horizontal="right"/>
      <protection/>
    </xf>
    <xf numFmtId="0" fontId="86" fillId="16" borderId="0" xfId="0" applyFont="1" applyFill="1" applyBorder="1" applyAlignment="1" applyProtection="1">
      <alignment/>
      <protection/>
    </xf>
    <xf numFmtId="0" fontId="86" fillId="16" borderId="71" xfId="0" applyFont="1" applyFill="1" applyBorder="1" applyAlignment="1" applyProtection="1">
      <alignment/>
      <protection/>
    </xf>
    <xf numFmtId="3" fontId="21" fillId="16" borderId="77" xfId="0" applyNumberFormat="1" applyFont="1" applyFill="1" applyBorder="1" applyAlignment="1" applyProtection="1">
      <alignment/>
      <protection/>
    </xf>
    <xf numFmtId="0" fontId="21" fillId="16" borderId="77" xfId="0" applyFont="1" applyFill="1" applyBorder="1" applyAlignment="1" applyProtection="1">
      <alignment/>
      <protection/>
    </xf>
    <xf numFmtId="0" fontId="27" fillId="6" borderId="0" xfId="0" applyFont="1" applyFill="1" applyBorder="1" applyAlignment="1" applyProtection="1">
      <alignment/>
      <protection locked="0"/>
    </xf>
    <xf numFmtId="3" fontId="22" fillId="16" borderId="78" xfId="0" applyNumberFormat="1" applyFont="1" applyFill="1" applyBorder="1" applyAlignment="1" applyProtection="1">
      <alignment/>
      <protection/>
    </xf>
    <xf numFmtId="0" fontId="21" fillId="16" borderId="73" xfId="0" applyFont="1" applyFill="1" applyBorder="1" applyAlignment="1" applyProtection="1">
      <alignment/>
      <protection/>
    </xf>
    <xf numFmtId="0" fontId="21" fillId="16" borderId="79" xfId="0" applyFont="1" applyFill="1" applyBorder="1" applyAlignment="1" applyProtection="1">
      <alignment/>
      <protection/>
    </xf>
    <xf numFmtId="0" fontId="27" fillId="6" borderId="80" xfId="0" applyFont="1" applyFill="1" applyBorder="1" applyAlignment="1" applyProtection="1">
      <alignment/>
      <protection locked="0"/>
    </xf>
    <xf numFmtId="0" fontId="86" fillId="16" borderId="80" xfId="0" applyFont="1" applyFill="1" applyBorder="1" applyAlignment="1" applyProtection="1">
      <alignment/>
      <protection/>
    </xf>
    <xf numFmtId="0" fontId="86" fillId="16" borderId="81" xfId="0" applyFont="1" applyFill="1" applyBorder="1" applyAlignment="1" applyProtection="1">
      <alignment/>
      <protection/>
    </xf>
    <xf numFmtId="0" fontId="27" fillId="0" borderId="0" xfId="0" applyFont="1" applyFill="1" applyBorder="1" applyAlignment="1" applyProtection="1">
      <alignment/>
      <protection/>
    </xf>
    <xf numFmtId="0" fontId="27" fillId="9" borderId="82" xfId="0" applyFont="1" applyFill="1" applyBorder="1" applyAlignment="1" applyProtection="1">
      <alignment/>
      <protection locked="0"/>
    </xf>
    <xf numFmtId="0" fontId="27" fillId="0" borderId="82" xfId="0" applyFont="1" applyFill="1" applyBorder="1" applyAlignment="1" applyProtection="1">
      <alignment/>
      <protection/>
    </xf>
    <xf numFmtId="192" fontId="27" fillId="7" borderId="82" xfId="0" applyNumberFormat="1" applyFont="1" applyFill="1" applyBorder="1" applyAlignment="1" applyProtection="1">
      <alignment/>
      <protection/>
    </xf>
    <xf numFmtId="0" fontId="27" fillId="6" borderId="82" xfId="0" applyFont="1" applyFill="1" applyBorder="1" applyAlignment="1" applyProtection="1">
      <alignment/>
      <protection locked="0"/>
    </xf>
    <xf numFmtId="0" fontId="27" fillId="6" borderId="83" xfId="0" applyFont="1" applyFill="1" applyBorder="1" applyAlignment="1" applyProtection="1">
      <alignment/>
      <protection locked="0"/>
    </xf>
    <xf numFmtId="0" fontId="27" fillId="6" borderId="84" xfId="0" applyFont="1" applyFill="1" applyBorder="1" applyAlignment="1" applyProtection="1">
      <alignment/>
      <protection locked="0"/>
    </xf>
    <xf numFmtId="0" fontId="27" fillId="6" borderId="39" xfId="0" applyFont="1" applyFill="1" applyBorder="1" applyAlignment="1" applyProtection="1">
      <alignment/>
      <protection locked="0"/>
    </xf>
    <xf numFmtId="0" fontId="27" fillId="6" borderId="40" xfId="0" applyFont="1" applyFill="1" applyBorder="1" applyAlignment="1" applyProtection="1">
      <alignment/>
      <protection locked="0"/>
    </xf>
    <xf numFmtId="0" fontId="27" fillId="0" borderId="19" xfId="0" applyFont="1" applyFill="1" applyBorder="1" applyAlignment="1" applyProtection="1">
      <alignment/>
      <protection/>
    </xf>
    <xf numFmtId="0" fontId="0" fillId="9" borderId="85" xfId="0" applyFont="1" applyFill="1" applyBorder="1" applyAlignment="1">
      <alignment vertical="center"/>
    </xf>
    <xf numFmtId="0" fontId="36" fillId="0" borderId="0" xfId="0" applyFont="1" applyAlignment="1">
      <alignment horizontal="left"/>
    </xf>
    <xf numFmtId="0" fontId="47" fillId="0" borderId="0" xfId="60" applyFont="1" applyAlignment="1">
      <alignment horizontal="left" vertical="center"/>
      <protection/>
    </xf>
    <xf numFmtId="0" fontId="0" fillId="0" borderId="16" xfId="0" applyBorder="1" applyAlignment="1">
      <alignment/>
    </xf>
    <xf numFmtId="0" fontId="0" fillId="0" borderId="0" xfId="0" applyBorder="1" applyAlignment="1">
      <alignment vertical="top"/>
    </xf>
    <xf numFmtId="0" fontId="2" fillId="0" borderId="7" xfId="0" applyFont="1" applyBorder="1" applyAlignment="1">
      <alignment/>
    </xf>
    <xf numFmtId="0" fontId="2" fillId="0" borderId="11" xfId="0" applyFont="1" applyBorder="1" applyAlignment="1">
      <alignment/>
    </xf>
    <xf numFmtId="4" fontId="0" fillId="0" borderId="19" xfId="0" applyNumberFormat="1" applyBorder="1" applyAlignment="1">
      <alignment vertical="top"/>
    </xf>
    <xf numFmtId="4" fontId="0" fillId="0" borderId="19" xfId="0" applyNumberFormat="1" applyBorder="1" applyAlignment="1">
      <alignment vertical="top" wrapText="1"/>
    </xf>
    <xf numFmtId="0" fontId="0" fillId="0" borderId="13" xfId="0" applyBorder="1" applyAlignment="1">
      <alignment vertical="top"/>
    </xf>
    <xf numFmtId="0" fontId="20" fillId="0" borderId="0" xfId="0" applyFont="1" applyAlignment="1">
      <alignment/>
    </xf>
    <xf numFmtId="0" fontId="0" fillId="0" borderId="7" xfId="0" applyBorder="1" applyAlignment="1">
      <alignment horizontal="left"/>
    </xf>
    <xf numFmtId="0" fontId="20" fillId="0" borderId="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8" xfId="0" applyFont="1" applyBorder="1" applyAlignment="1">
      <alignment/>
    </xf>
    <xf numFmtId="0" fontId="0" fillId="0" borderId="9" xfId="0" applyFont="1" applyBorder="1" applyAlignment="1">
      <alignment/>
    </xf>
    <xf numFmtId="0" fontId="20" fillId="0" borderId="0" xfId="0" applyFont="1" applyFill="1" applyBorder="1" applyAlignment="1">
      <alignment/>
    </xf>
    <xf numFmtId="0" fontId="23" fillId="0" borderId="0" xfId="0" applyFont="1" applyFill="1" applyBorder="1" applyAlignment="1">
      <alignment vertical="center"/>
    </xf>
    <xf numFmtId="0" fontId="54" fillId="0" borderId="0" xfId="0" applyFont="1" applyFill="1" applyBorder="1" applyAlignment="1">
      <alignment vertical="center"/>
    </xf>
    <xf numFmtId="0" fontId="0" fillId="0" borderId="13" xfId="0" applyFont="1" applyBorder="1" applyAlignment="1">
      <alignment/>
    </xf>
    <xf numFmtId="0" fontId="2" fillId="0" borderId="19" xfId="0" applyFont="1" applyBorder="1" applyAlignment="1">
      <alignment/>
    </xf>
    <xf numFmtId="2" fontId="61" fillId="0" borderId="0" xfId="0" applyNumberFormat="1" applyFont="1" applyFill="1" applyBorder="1" applyAlignment="1">
      <alignment/>
    </xf>
    <xf numFmtId="210" fontId="14" fillId="0" borderId="0" xfId="0" applyNumberFormat="1" applyFont="1" applyFill="1" applyBorder="1" applyAlignment="1">
      <alignment/>
    </xf>
    <xf numFmtId="2" fontId="14" fillId="0" borderId="0" xfId="0" applyNumberFormat="1" applyFont="1" applyFill="1" applyBorder="1" applyAlignment="1">
      <alignment/>
    </xf>
    <xf numFmtId="0" fontId="0" fillId="0" borderId="0" xfId="0" applyFont="1" applyBorder="1" applyAlignment="1">
      <alignment/>
    </xf>
    <xf numFmtId="0" fontId="8" fillId="0" borderId="13" xfId="0" applyFont="1" applyBorder="1" applyAlignment="1">
      <alignment/>
    </xf>
    <xf numFmtId="0" fontId="2" fillId="0" borderId="19" xfId="0" applyFont="1" applyBorder="1" applyAlignment="1">
      <alignment/>
    </xf>
    <xf numFmtId="0" fontId="0" fillId="0" borderId="0" xfId="0" applyBorder="1" applyAlignment="1">
      <alignment wrapText="1"/>
    </xf>
    <xf numFmtId="0" fontId="2" fillId="0" borderId="0" xfId="0" applyFont="1" applyBorder="1" applyAlignment="1">
      <alignment wrapText="1"/>
    </xf>
    <xf numFmtId="4" fontId="8" fillId="0" borderId="7" xfId="0" applyNumberFormat="1" applyFont="1" applyFill="1" applyBorder="1" applyAlignment="1">
      <alignment horizontal="right" vertical="center"/>
    </xf>
    <xf numFmtId="49" fontId="8" fillId="0" borderId="11" xfId="0" applyNumberFormat="1" applyFont="1" applyFill="1" applyBorder="1" applyAlignment="1">
      <alignment horizontal="left" vertical="center"/>
    </xf>
    <xf numFmtId="4" fontId="8" fillId="0" borderId="11" xfId="0" applyNumberFormat="1" applyFont="1" applyFill="1" applyBorder="1" applyAlignment="1">
      <alignment horizontal="right" vertical="center"/>
    </xf>
    <xf numFmtId="49" fontId="8" fillId="0" borderId="8" xfId="0" applyNumberFormat="1" applyFont="1" applyFill="1" applyBorder="1" applyAlignment="1">
      <alignment horizontal="left" vertical="center"/>
    </xf>
    <xf numFmtId="4" fontId="8" fillId="0" borderId="19" xfId="0" applyNumberFormat="1" applyFont="1" applyFill="1" applyBorder="1" applyAlignment="1">
      <alignment horizontal="righ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4" fontId="8" fillId="0" borderId="9" xfId="0" applyNumberFormat="1" applyFont="1" applyFill="1" applyBorder="1" applyAlignment="1">
      <alignment horizontal="right" vertical="center"/>
    </xf>
    <xf numFmtId="0" fontId="8" fillId="0" borderId="3" xfId="0" applyFont="1" applyBorder="1" applyAlignment="1">
      <alignment horizontal="left" vertical="center"/>
    </xf>
    <xf numFmtId="4" fontId="8" fillId="0" borderId="3" xfId="0" applyNumberFormat="1" applyFont="1" applyFill="1" applyBorder="1" applyAlignment="1">
      <alignment horizontal="right" vertical="center"/>
    </xf>
    <xf numFmtId="0" fontId="8" fillId="0" borderId="10" xfId="0" applyFont="1" applyBorder="1" applyAlignment="1">
      <alignment horizontal="left" vertical="center"/>
    </xf>
    <xf numFmtId="0" fontId="53" fillId="0" borderId="0" xfId="0" applyFont="1" applyFill="1" applyBorder="1" applyAlignment="1">
      <alignment vertical="center"/>
    </xf>
    <xf numFmtId="0" fontId="0" fillId="0" borderId="53" xfId="0" applyFont="1" applyFill="1" applyBorder="1" applyAlignment="1">
      <alignment vertical="center"/>
    </xf>
    <xf numFmtId="0" fontId="88" fillId="0" borderId="0" xfId="0" applyFont="1" applyFill="1" applyBorder="1" applyAlignment="1">
      <alignment vertical="center"/>
    </xf>
    <xf numFmtId="0" fontId="0" fillId="0" borderId="11" xfId="0" applyBorder="1" applyAlignment="1">
      <alignment/>
    </xf>
    <xf numFmtId="0" fontId="2" fillId="0" borderId="11" xfId="0" applyFont="1" applyBorder="1" applyAlignment="1">
      <alignment horizontal="right"/>
    </xf>
    <xf numFmtId="0" fontId="0" fillId="0" borderId="11" xfId="0" applyBorder="1" applyAlignment="1">
      <alignment wrapText="1"/>
    </xf>
    <xf numFmtId="0" fontId="2" fillId="0" borderId="19" xfId="0" applyFont="1" applyBorder="1" applyAlignment="1">
      <alignment/>
    </xf>
    <xf numFmtId="0" fontId="2" fillId="0" borderId="0" xfId="0" applyFont="1" applyBorder="1" applyAlignment="1">
      <alignment/>
    </xf>
    <xf numFmtId="0" fontId="0" fillId="0" borderId="19" xfId="0" applyBorder="1" applyAlignment="1">
      <alignment wrapText="1"/>
    </xf>
    <xf numFmtId="0" fontId="0" fillId="0" borderId="19" xfId="0" applyBorder="1" applyAlignment="1">
      <alignment horizontal="centerContinuous" wrapText="1"/>
    </xf>
    <xf numFmtId="0" fontId="0" fillId="0" borderId="0" xfId="0" applyBorder="1" applyAlignment="1">
      <alignment horizontal="centerContinuous" wrapText="1"/>
    </xf>
    <xf numFmtId="0" fontId="0" fillId="0" borderId="19" xfId="0" applyFont="1" applyBorder="1" applyAlignment="1">
      <alignment/>
    </xf>
    <xf numFmtId="0" fontId="0" fillId="0" borderId="9" xfId="0" applyBorder="1" applyAlignment="1">
      <alignment wrapText="1"/>
    </xf>
    <xf numFmtId="0" fontId="0" fillId="0" borderId="3" xfId="0" applyBorder="1" applyAlignment="1">
      <alignment wrapText="1"/>
    </xf>
    <xf numFmtId="0" fontId="2" fillId="0" borderId="0" xfId="0" applyFont="1" applyAlignment="1">
      <alignment horizontal="left"/>
    </xf>
    <xf numFmtId="0" fontId="0" fillId="0" borderId="7" xfId="0" applyBorder="1" applyAlignment="1">
      <alignment/>
    </xf>
    <xf numFmtId="0" fontId="2" fillId="0" borderId="11" xfId="0" applyFont="1" applyBorder="1" applyAlignment="1">
      <alignment/>
    </xf>
    <xf numFmtId="0" fontId="2" fillId="0" borderId="8" xfId="0" applyFont="1" applyBorder="1" applyAlignment="1">
      <alignment/>
    </xf>
    <xf numFmtId="0" fontId="0" fillId="0" borderId="19" xfId="0" applyBorder="1" applyAlignment="1">
      <alignment horizontal="left"/>
    </xf>
    <xf numFmtId="0" fontId="0" fillId="0" borderId="0" xfId="0" applyBorder="1" applyAlignment="1">
      <alignment horizontal="left"/>
    </xf>
    <xf numFmtId="0" fontId="0" fillId="0" borderId="0" xfId="0" applyBorder="1" applyAlignment="1">
      <alignment/>
    </xf>
    <xf numFmtId="0" fontId="0" fillId="0" borderId="13" xfId="0" applyBorder="1" applyAlignment="1">
      <alignment/>
    </xf>
    <xf numFmtId="0" fontId="0" fillId="0" borderId="9" xfId="0" applyBorder="1" applyAlignment="1">
      <alignment horizontal="left"/>
    </xf>
    <xf numFmtId="0" fontId="0" fillId="0" borderId="3" xfId="0" applyBorder="1" applyAlignment="1">
      <alignment/>
    </xf>
    <xf numFmtId="0" fontId="0" fillId="0" borderId="10" xfId="0" applyBorder="1" applyAlignment="1">
      <alignment/>
    </xf>
    <xf numFmtId="0" fontId="2" fillId="0" borderId="86" xfId="0" applyFont="1" applyBorder="1" applyAlignment="1">
      <alignment horizontal="right"/>
    </xf>
    <xf numFmtId="0" fontId="0" fillId="0" borderId="87" xfId="0" applyFont="1" applyBorder="1" applyAlignment="1">
      <alignment/>
    </xf>
    <xf numFmtId="0" fontId="0" fillId="0" borderId="88" xfId="0" applyFont="1" applyBorder="1" applyAlignment="1">
      <alignment/>
    </xf>
    <xf numFmtId="0" fontId="2" fillId="0" borderId="41" xfId="48" applyFont="1" applyBorder="1" applyAlignment="1">
      <alignment horizontal="right"/>
      <protection/>
    </xf>
    <xf numFmtId="0" fontId="2" fillId="0" borderId="59" xfId="48" applyFont="1" applyBorder="1" applyAlignment="1">
      <alignment horizontal="right"/>
      <protection/>
    </xf>
    <xf numFmtId="0" fontId="50" fillId="0" borderId="7" xfId="0" applyFont="1" applyBorder="1" applyAlignment="1">
      <alignment/>
    </xf>
    <xf numFmtId="49" fontId="1" fillId="0" borderId="11" xfId="0" applyNumberFormat="1" applyFont="1" applyBorder="1" applyAlignment="1">
      <alignment horizontal="left"/>
    </xf>
    <xf numFmtId="189" fontId="2" fillId="0" borderId="0" xfId="0" applyNumberFormat="1" applyFont="1" applyBorder="1" applyAlignment="1">
      <alignment/>
    </xf>
    <xf numFmtId="0" fontId="2" fillId="0" borderId="9" xfId="0" applyFont="1" applyBorder="1" applyAlignment="1">
      <alignment/>
    </xf>
    <xf numFmtId="0" fontId="2" fillId="0" borderId="3" xfId="0" applyFont="1" applyBorder="1" applyAlignment="1">
      <alignment/>
    </xf>
    <xf numFmtId="189" fontId="2" fillId="0" borderId="3" xfId="0" applyNumberFormat="1"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0" fillId="0" borderId="6" xfId="0" applyBorder="1" applyAlignment="1">
      <alignment/>
    </xf>
    <xf numFmtId="0" fontId="0" fillId="0" borderId="6" xfId="0" applyBorder="1" applyAlignment="1">
      <alignment horizontal="right"/>
    </xf>
    <xf numFmtId="3" fontId="0" fillId="0" borderId="6" xfId="0" applyNumberFormat="1" applyBorder="1" applyAlignment="1">
      <alignment/>
    </xf>
    <xf numFmtId="0" fontId="2" fillId="0" borderId="7" xfId="0" applyFont="1" applyBorder="1" applyAlignment="1">
      <alignment/>
    </xf>
    <xf numFmtId="0" fontId="2" fillId="0" borderId="0" xfId="0" applyFont="1" applyAlignment="1">
      <alignment/>
    </xf>
    <xf numFmtId="0" fontId="36" fillId="0" borderId="0" xfId="0" applyFont="1" applyBorder="1" applyAlignment="1">
      <alignment horizontal="right" wrapText="1"/>
    </xf>
    <xf numFmtId="0" fontId="2" fillId="0" borderId="0" xfId="0" applyFont="1" applyBorder="1" applyAlignment="1">
      <alignment horizontal="right"/>
    </xf>
    <xf numFmtId="0" fontId="2" fillId="0" borderId="13" xfId="0" applyFont="1" applyBorder="1" applyAlignment="1">
      <alignment horizontal="right"/>
    </xf>
    <xf numFmtId="0" fontId="0" fillId="0" borderId="3" xfId="0" applyBorder="1" applyAlignment="1">
      <alignment horizontal="right" wrapText="1"/>
    </xf>
    <xf numFmtId="0" fontId="0" fillId="0" borderId="0" xfId="0" applyNumberFormat="1" applyFont="1" applyBorder="1" applyAlignment="1">
      <alignment horizontal="right" wrapText="1"/>
    </xf>
    <xf numFmtId="0" fontId="0" fillId="0" borderId="0" xfId="0" applyFont="1" applyBorder="1" applyAlignment="1">
      <alignment horizontal="right" wrapText="1"/>
    </xf>
    <xf numFmtId="0" fontId="36" fillId="0" borderId="0" xfId="0" applyFont="1" applyBorder="1" applyAlignment="1">
      <alignment horizontal="right" wrapText="1"/>
    </xf>
    <xf numFmtId="0" fontId="0" fillId="0" borderId="0" xfId="0" applyFont="1" applyAlignment="1">
      <alignment horizontal="left"/>
    </xf>
    <xf numFmtId="43" fontId="0" fillId="0" borderId="0" xfId="16" applyFont="1" applyBorder="1" applyAlignment="1">
      <alignment horizontal="right"/>
    </xf>
    <xf numFmtId="0" fontId="0" fillId="0" borderId="0" xfId="0" applyFont="1" applyFill="1" applyBorder="1" applyAlignment="1">
      <alignment horizontal="right" vertical="center"/>
    </xf>
    <xf numFmtId="204" fontId="0" fillId="0" borderId="0" xfId="16" applyNumberFormat="1" applyFont="1" applyBorder="1" applyAlignment="1">
      <alignment horizontal="right"/>
    </xf>
    <xf numFmtId="204" fontId="76" fillId="0" borderId="0" xfId="48" applyNumberFormat="1" applyFont="1" applyBorder="1" applyAlignment="1">
      <alignment horizontal="left"/>
      <protection/>
    </xf>
    <xf numFmtId="204" fontId="0" fillId="0" borderId="0" xfId="48" applyNumberFormat="1" applyFont="1" applyBorder="1" applyAlignment="1">
      <alignment horizontal="left"/>
      <protection/>
    </xf>
    <xf numFmtId="204" fontId="0" fillId="0" borderId="0" xfId="48" applyNumberFormat="1" applyFont="1" applyBorder="1" applyAlignment="1">
      <alignment horizontal="right"/>
      <protection/>
    </xf>
    <xf numFmtId="204" fontId="0" fillId="0" borderId="0" xfId="0" applyNumberFormat="1" applyFont="1" applyFill="1" applyBorder="1" applyAlignment="1">
      <alignment horizontal="right" vertical="center"/>
    </xf>
    <xf numFmtId="204" fontId="0" fillId="0" borderId="0" xfId="0" applyNumberFormat="1" applyFont="1" applyFill="1" applyBorder="1" applyAlignment="1">
      <alignment vertical="center"/>
    </xf>
    <xf numFmtId="189" fontId="36" fillId="0" borderId="54" xfId="48" applyNumberFormat="1" applyFont="1" applyBorder="1" applyAlignment="1">
      <alignment horizontal="right"/>
      <protection/>
    </xf>
    <xf numFmtId="0" fontId="36" fillId="0" borderId="0" xfId="0" applyFont="1" applyAlignment="1">
      <alignment horizontal="right"/>
    </xf>
    <xf numFmtId="0" fontId="0" fillId="0" borderId="0" xfId="48" applyFont="1" applyAlignment="1">
      <alignment horizontal="right"/>
      <protection/>
    </xf>
    <xf numFmtId="3" fontId="0" fillId="0" borderId="55" xfId="48" applyNumberFormat="1" applyFont="1" applyBorder="1" applyAlignment="1">
      <alignment horizontal="right"/>
      <protection/>
    </xf>
    <xf numFmtId="3" fontId="0" fillId="0" borderId="11" xfId="48" applyNumberFormat="1" applyFont="1" applyBorder="1" applyAlignment="1">
      <alignment horizontal="right"/>
      <protection/>
    </xf>
    <xf numFmtId="3" fontId="0" fillId="0" borderId="89" xfId="0" applyNumberFormat="1" applyBorder="1" applyAlignment="1">
      <alignment/>
    </xf>
    <xf numFmtId="0" fontId="0" fillId="0" borderId="89" xfId="0" applyBorder="1" applyAlignment="1">
      <alignment/>
    </xf>
    <xf numFmtId="0" fontId="0" fillId="0" borderId="90" xfId="0" applyBorder="1" applyAlignment="1">
      <alignment/>
    </xf>
    <xf numFmtId="0" fontId="2" fillId="0" borderId="91" xfId="0" applyFont="1" applyBorder="1" applyAlignment="1">
      <alignment/>
    </xf>
    <xf numFmtId="0" fontId="2" fillId="4" borderId="0" xfId="0" applyFont="1" applyFill="1" applyBorder="1" applyAlignment="1">
      <alignment vertical="center"/>
    </xf>
    <xf numFmtId="0" fontId="23" fillId="4" borderId="0" xfId="0" applyFont="1" applyFill="1" applyBorder="1" applyAlignment="1">
      <alignment vertical="center"/>
    </xf>
    <xf numFmtId="0" fontId="0" fillId="4" borderId="0" xfId="0" applyFont="1" applyFill="1" applyAlignment="1">
      <alignment/>
    </xf>
    <xf numFmtId="0" fontId="89" fillId="0" borderId="0" xfId="0" applyFont="1" applyFill="1" applyAlignment="1">
      <alignment/>
    </xf>
    <xf numFmtId="4" fontId="89" fillId="0" borderId="0" xfId="0" applyNumberFormat="1" applyFont="1" applyFill="1" applyAlignment="1">
      <alignment/>
    </xf>
    <xf numFmtId="4" fontId="8" fillId="15" borderId="0" xfId="0" applyNumberFormat="1" applyFont="1" applyFill="1" applyAlignment="1">
      <alignment/>
    </xf>
    <xf numFmtId="2" fontId="0" fillId="15" borderId="39" xfId="0" applyNumberFormat="1" applyFont="1" applyFill="1" applyBorder="1" applyAlignment="1">
      <alignment horizontal="center" vertical="center"/>
    </xf>
    <xf numFmtId="192" fontId="0" fillId="13" borderId="6" xfId="0" applyNumberFormat="1" applyFont="1" applyFill="1" applyBorder="1" applyAlignment="1">
      <alignment horizontal="right" vertical="center"/>
    </xf>
    <xf numFmtId="0" fontId="23" fillId="5" borderId="38" xfId="0" applyFont="1" applyFill="1" applyBorder="1" applyAlignment="1">
      <alignment horizontal="left" vertical="center" wrapText="1"/>
    </xf>
    <xf numFmtId="0" fontId="55" fillId="5" borderId="18" xfId="0" applyFont="1" applyFill="1" applyBorder="1" applyAlignment="1">
      <alignment vertical="center"/>
    </xf>
    <xf numFmtId="0" fontId="0" fillId="5" borderId="0" xfId="0" applyFill="1" applyAlignment="1">
      <alignment vertical="center"/>
    </xf>
    <xf numFmtId="0" fontId="40" fillId="5" borderId="0" xfId="0" applyFont="1" applyFill="1" applyBorder="1" applyAlignment="1">
      <alignment vertical="center"/>
    </xf>
    <xf numFmtId="0" fontId="2" fillId="0" borderId="0" xfId="0" applyFont="1" applyBorder="1" applyAlignment="1">
      <alignment vertical="center"/>
    </xf>
    <xf numFmtId="0" fontId="0" fillId="0" borderId="18" xfId="0" applyFont="1" applyFill="1" applyBorder="1" applyAlignment="1">
      <alignment vertical="center"/>
    </xf>
    <xf numFmtId="0" fontId="5" fillId="0" borderId="0" xfId="41" applyFill="1" applyAlignment="1" applyProtection="1">
      <alignment/>
      <protection/>
    </xf>
    <xf numFmtId="0" fontId="0" fillId="0" borderId="0" xfId="0" applyFont="1" applyBorder="1" applyAlignment="1">
      <alignment horizontal="center"/>
    </xf>
    <xf numFmtId="0" fontId="2" fillId="0" borderId="0" xfId="0" applyFont="1" applyBorder="1" applyAlignment="1">
      <alignment horizontal="center"/>
    </xf>
    <xf numFmtId="0" fontId="20" fillId="0" borderId="0" xfId="0" applyFont="1" applyAlignment="1">
      <alignment vertical="center"/>
    </xf>
    <xf numFmtId="0" fontId="0" fillId="0" borderId="0" xfId="0" applyAlignment="1">
      <alignment horizontal="center"/>
    </xf>
    <xf numFmtId="0" fontId="76" fillId="0" borderId="0" xfId="0" applyFont="1" applyAlignment="1">
      <alignment/>
    </xf>
    <xf numFmtId="0" fontId="91" fillId="0" borderId="0" xfId="0" applyFont="1" applyAlignment="1">
      <alignment/>
    </xf>
    <xf numFmtId="0" fontId="9" fillId="0" borderId="0" xfId="0" applyFont="1" applyAlignment="1">
      <alignment/>
    </xf>
    <xf numFmtId="192" fontId="29" fillId="7" borderId="15" xfId="0" applyNumberFormat="1" applyFont="1" applyFill="1" applyBorder="1" applyAlignment="1">
      <alignment/>
    </xf>
    <xf numFmtId="192" fontId="29" fillId="7" borderId="14" xfId="0" applyNumberFormat="1" applyFont="1" applyFill="1" applyBorder="1" applyAlignment="1">
      <alignment/>
    </xf>
    <xf numFmtId="192" fontId="29" fillId="7" borderId="9" xfId="0" applyNumberFormat="1" applyFont="1" applyFill="1" applyBorder="1" applyAlignment="1">
      <alignment/>
    </xf>
    <xf numFmtId="192" fontId="29" fillId="7" borderId="3" xfId="0" applyNumberFormat="1" applyFont="1" applyFill="1" applyBorder="1" applyAlignment="1">
      <alignment/>
    </xf>
    <xf numFmtId="192" fontId="29" fillId="7" borderId="11" xfId="0" applyNumberFormat="1" applyFont="1" applyFill="1" applyBorder="1" applyAlignment="1">
      <alignment/>
    </xf>
    <xf numFmtId="0" fontId="29" fillId="7" borderId="15" xfId="0" applyFont="1" applyFill="1" applyBorder="1" applyAlignment="1">
      <alignment/>
    </xf>
    <xf numFmtId="0" fontId="29" fillId="7" borderId="14" xfId="0" applyFont="1" applyFill="1" applyBorder="1" applyAlignment="1">
      <alignment/>
    </xf>
    <xf numFmtId="192" fontId="29" fillId="7" borderId="49" xfId="0" applyNumberFormat="1" applyFont="1" applyFill="1" applyBorder="1" applyAlignment="1">
      <alignment/>
    </xf>
    <xf numFmtId="192" fontId="29" fillId="7" borderId="16" xfId="0" applyNumberFormat="1" applyFont="1" applyFill="1" applyBorder="1" applyAlignment="1">
      <alignment/>
    </xf>
    <xf numFmtId="192" fontId="29" fillId="7" borderId="6" xfId="0" applyNumberFormat="1" applyFont="1" applyFill="1" applyBorder="1" applyAlignment="1">
      <alignment/>
    </xf>
    <xf numFmtId="0" fontId="29" fillId="7" borderId="6" xfId="0" applyFont="1" applyFill="1" applyBorder="1" applyAlignment="1">
      <alignment/>
    </xf>
    <xf numFmtId="0" fontId="29" fillId="7" borderId="16" xfId="0" applyFont="1" applyFill="1" applyBorder="1" applyAlignment="1">
      <alignment/>
    </xf>
    <xf numFmtId="0" fontId="0" fillId="0" borderId="0" xfId="0" applyAlignment="1">
      <alignment horizontal="left" indent="3"/>
    </xf>
    <xf numFmtId="2" fontId="0" fillId="15" borderId="6" xfId="0" applyNumberFormat="1" applyFont="1" applyFill="1" applyBorder="1" applyAlignment="1">
      <alignment horizontal="left" vertical="center"/>
    </xf>
    <xf numFmtId="0" fontId="0" fillId="15" borderId="6" xfId="0" applyFill="1" applyBorder="1" applyAlignment="1">
      <alignment horizontal="left" vertical="center" wrapText="1"/>
    </xf>
    <xf numFmtId="2" fontId="0" fillId="15" borderId="6" xfId="0" applyNumberFormat="1" applyFont="1" applyFill="1" applyBorder="1" applyAlignment="1">
      <alignment horizontal="left" vertical="center" wrapText="1"/>
    </xf>
    <xf numFmtId="0" fontId="8" fillId="15" borderId="0" xfId="0" applyFont="1" applyFill="1" applyAlignment="1">
      <alignment horizontal="left"/>
    </xf>
    <xf numFmtId="0" fontId="8" fillId="0" borderId="0" xfId="0" applyFont="1" applyFill="1" applyAlignment="1">
      <alignment horizontal="left"/>
    </xf>
    <xf numFmtId="0" fontId="95" fillId="10" borderId="16" xfId="0" applyFont="1" applyFill="1" applyBorder="1" applyAlignment="1" applyProtection="1">
      <alignment/>
      <protection/>
    </xf>
    <xf numFmtId="0" fontId="27" fillId="10" borderId="66" xfId="0" applyFont="1" applyFill="1" applyBorder="1" applyAlignment="1" applyProtection="1">
      <alignment/>
      <protection locked="0"/>
    </xf>
    <xf numFmtId="0" fontId="27" fillId="14" borderId="0" xfId="0" applyFont="1" applyFill="1" applyBorder="1" applyAlignment="1" applyProtection="1">
      <alignment/>
      <protection/>
    </xf>
    <xf numFmtId="0" fontId="31" fillId="9" borderId="6" xfId="0" applyFont="1" applyFill="1" applyBorder="1" applyAlignment="1" applyProtection="1">
      <alignment horizontal="left"/>
      <protection locked="0"/>
    </xf>
    <xf numFmtId="0" fontId="31" fillId="13" borderId="39" xfId="0" applyFont="1" applyFill="1" applyBorder="1" applyAlignment="1" applyProtection="1">
      <alignment horizontal="left"/>
      <protection/>
    </xf>
    <xf numFmtId="0" fontId="31" fillId="13" borderId="10" xfId="0" applyFont="1" applyFill="1" applyBorder="1" applyAlignment="1" applyProtection="1">
      <alignment horizontal="left"/>
      <protection/>
    </xf>
    <xf numFmtId="0" fontId="96" fillId="9" borderId="15" xfId="0" applyFont="1" applyFill="1" applyBorder="1" applyAlignment="1" applyProtection="1">
      <alignment horizontal="left"/>
      <protection locked="0"/>
    </xf>
    <xf numFmtId="0" fontId="31" fillId="13" borderId="16" xfId="0" applyFont="1" applyFill="1" applyBorder="1" applyAlignment="1" applyProtection="1">
      <alignment horizontal="left"/>
      <protection/>
    </xf>
    <xf numFmtId="0" fontId="23" fillId="5" borderId="0" xfId="0" applyFont="1" applyFill="1" applyAlignment="1">
      <alignment/>
    </xf>
    <xf numFmtId="0" fontId="97" fillId="5" borderId="0" xfId="0" applyFont="1" applyFill="1" applyBorder="1" applyAlignment="1">
      <alignment/>
    </xf>
    <xf numFmtId="0" fontId="41" fillId="5" borderId="92" xfId="0" applyFont="1" applyFill="1" applyBorder="1" applyAlignment="1">
      <alignment vertical="center"/>
    </xf>
    <xf numFmtId="0" fontId="41" fillId="5" borderId="92" xfId="0" applyFont="1" applyFill="1" applyBorder="1" applyAlignment="1">
      <alignment horizontal="left" vertical="center"/>
    </xf>
    <xf numFmtId="0" fontId="41" fillId="5" borderId="92" xfId="0" applyFont="1" applyFill="1" applyBorder="1" applyAlignment="1">
      <alignment horizontal="left" vertical="center" wrapText="1"/>
    </xf>
    <xf numFmtId="0" fontId="41" fillId="5" borderId="92" xfId="0" applyFont="1" applyFill="1" applyBorder="1" applyAlignment="1">
      <alignment horizontal="left" wrapText="1"/>
    </xf>
    <xf numFmtId="0" fontId="98" fillId="5" borderId="0" xfId="0" applyFont="1" applyFill="1" applyAlignment="1">
      <alignment/>
    </xf>
    <xf numFmtId="0" fontId="98" fillId="5" borderId="92" xfId="0" applyFont="1" applyFill="1" applyBorder="1" applyAlignment="1">
      <alignment/>
    </xf>
    <xf numFmtId="2" fontId="2" fillId="0" borderId="19" xfId="0" applyNumberFormat="1" applyFont="1" applyFill="1" applyBorder="1" applyAlignment="1">
      <alignment horizontal="center" vertical="center" wrapText="1"/>
    </xf>
    <xf numFmtId="192" fontId="0" fillId="0" borderId="0" xfId="0" applyNumberFormat="1" applyFont="1" applyFill="1" applyBorder="1" applyAlignment="1">
      <alignment horizontal="center" vertical="center"/>
    </xf>
    <xf numFmtId="2" fontId="0" fillId="0" borderId="0" xfId="0" applyNumberFormat="1" applyFont="1" applyFill="1" applyBorder="1" applyAlignment="1" applyProtection="1">
      <alignment horizontal="center" vertical="center"/>
      <protection/>
    </xf>
    <xf numFmtId="192" fontId="0" fillId="0" borderId="19" xfId="0" applyNumberFormat="1" applyFont="1" applyFill="1" applyBorder="1" applyAlignment="1">
      <alignment horizontal="center" vertical="center" wrapText="1"/>
    </xf>
    <xf numFmtId="192" fontId="0" fillId="0" borderId="0" xfId="0" applyNumberFormat="1" applyFont="1" applyFill="1" applyBorder="1" applyAlignment="1">
      <alignment horizontal="center" vertical="center" wrapText="1"/>
    </xf>
    <xf numFmtId="2" fontId="60"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pplyProtection="1">
      <alignment horizontal="center" vertical="center" wrapText="1"/>
      <protection/>
    </xf>
    <xf numFmtId="192" fontId="0" fillId="0" borderId="0" xfId="0" applyNumberFormat="1" applyFill="1" applyBorder="1" applyAlignment="1">
      <alignment vertical="center"/>
    </xf>
    <xf numFmtId="192" fontId="0" fillId="0" borderId="19" xfId="0" applyNumberFormat="1" applyFont="1" applyFill="1" applyBorder="1" applyAlignment="1">
      <alignment horizontal="center" vertical="center"/>
    </xf>
    <xf numFmtId="192" fontId="0" fillId="0" borderId="0" xfId="0" applyNumberFormat="1" applyFont="1" applyFill="1" applyBorder="1" applyAlignment="1">
      <alignment horizontal="right" vertical="center"/>
    </xf>
    <xf numFmtId="208" fontId="2" fillId="0" borderId="0" xfId="0" applyNumberFormat="1" applyFont="1" applyFill="1" applyBorder="1" applyAlignment="1">
      <alignment horizontal="right" vertical="top"/>
    </xf>
    <xf numFmtId="0" fontId="8" fillId="0" borderId="19" xfId="0" applyFont="1" applyFill="1" applyBorder="1" applyAlignment="1">
      <alignment/>
    </xf>
    <xf numFmtId="4" fontId="8" fillId="0" borderId="0" xfId="0" applyNumberFormat="1" applyFont="1" applyFill="1" applyBorder="1" applyAlignment="1">
      <alignment/>
    </xf>
    <xf numFmtId="0" fontId="79" fillId="5" borderId="0" xfId="0" applyFont="1" applyFill="1" applyBorder="1" applyAlignment="1">
      <alignment/>
    </xf>
    <xf numFmtId="0" fontId="27" fillId="13" borderId="93" xfId="0" applyFont="1" applyFill="1" applyBorder="1" applyAlignment="1" applyProtection="1">
      <alignment/>
      <protection/>
    </xf>
    <xf numFmtId="0" fontId="30" fillId="9" borderId="14" xfId="0" applyFont="1" applyFill="1" applyBorder="1" applyAlignment="1" applyProtection="1">
      <alignment/>
      <protection locked="0"/>
    </xf>
    <xf numFmtId="0" fontId="27" fillId="0" borderId="14" xfId="0" applyFont="1" applyFill="1" applyBorder="1" applyAlignment="1" applyProtection="1">
      <alignment/>
      <protection/>
    </xf>
    <xf numFmtId="0" fontId="27" fillId="6" borderId="17" xfId="0" applyFont="1" applyFill="1" applyBorder="1" applyAlignment="1" applyProtection="1">
      <alignment/>
      <protection locked="0"/>
    </xf>
    <xf numFmtId="184" fontId="27" fillId="8" borderId="17" xfId="0" applyNumberFormat="1" applyFont="1" applyFill="1" applyBorder="1" applyAlignment="1" applyProtection="1">
      <alignment/>
      <protection/>
    </xf>
    <xf numFmtId="192" fontId="27" fillId="7" borderId="0" xfId="0" applyNumberFormat="1" applyFont="1" applyFill="1" applyAlignment="1" applyProtection="1">
      <alignment/>
      <protection/>
    </xf>
    <xf numFmtId="0" fontId="100" fillId="0" borderId="0" xfId="0" applyFont="1" applyAlignment="1">
      <alignment/>
    </xf>
    <xf numFmtId="0" fontId="100" fillId="0" borderId="0" xfId="0" applyFont="1" applyAlignment="1" applyProtection="1">
      <alignment/>
      <protection/>
    </xf>
    <xf numFmtId="0" fontId="0" fillId="0" borderId="0" xfId="0" applyFont="1" applyAlignment="1" applyProtection="1">
      <alignment/>
      <protection/>
    </xf>
    <xf numFmtId="0" fontId="2" fillId="0" borderId="94" xfId="0" applyFont="1" applyBorder="1" applyAlignment="1" applyProtection="1">
      <alignment vertical="top" wrapText="1"/>
      <protection/>
    </xf>
    <xf numFmtId="0" fontId="2" fillId="0" borderId="95" xfId="0" applyFont="1" applyBorder="1" applyAlignment="1" applyProtection="1">
      <alignment horizontal="center" vertical="top" wrapText="1"/>
      <protection/>
    </xf>
    <xf numFmtId="0" fontId="0" fillId="0" borderId="96" xfId="0" applyFont="1" applyFill="1" applyBorder="1" applyAlignment="1" applyProtection="1">
      <alignment vertical="top" wrapText="1"/>
      <protection/>
    </xf>
    <xf numFmtId="0" fontId="0" fillId="13" borderId="96" xfId="0" applyFont="1" applyFill="1" applyBorder="1" applyAlignment="1" applyProtection="1">
      <alignment vertical="top" wrapText="1"/>
      <protection/>
    </xf>
    <xf numFmtId="0" fontId="0" fillId="0" borderId="97" xfId="0" applyFont="1" applyFill="1" applyBorder="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protection/>
    </xf>
    <xf numFmtId="2" fontId="0" fillId="0" borderId="98" xfId="0" applyNumberFormat="1" applyFont="1" applyFill="1" applyBorder="1" applyAlignment="1" applyProtection="1">
      <alignment/>
      <protection/>
    </xf>
    <xf numFmtId="0" fontId="0" fillId="0" borderId="98" xfId="0" applyFont="1" applyFill="1" applyBorder="1" applyAlignment="1" applyProtection="1">
      <alignment vertical="top" wrapText="1"/>
      <protection/>
    </xf>
    <xf numFmtId="192" fontId="0" fillId="13" borderId="99" xfId="0" applyNumberFormat="1" applyFont="1" applyFill="1" applyBorder="1" applyAlignment="1" applyProtection="1">
      <alignment horizontal="center" vertical="top" wrapText="1"/>
      <protection/>
    </xf>
    <xf numFmtId="192" fontId="0" fillId="0" borderId="100" xfId="0" applyNumberFormat="1" applyFont="1" applyBorder="1" applyAlignment="1" applyProtection="1">
      <alignment horizontal="center" vertical="top" wrapText="1"/>
      <protection/>
    </xf>
    <xf numFmtId="192" fontId="0" fillId="13" borderId="100" xfId="0" applyNumberFormat="1" applyFont="1" applyFill="1" applyBorder="1" applyAlignment="1" applyProtection="1">
      <alignment horizontal="center" vertical="top" wrapText="1"/>
      <protection/>
    </xf>
    <xf numFmtId="192" fontId="0" fillId="13" borderId="96" xfId="0" applyNumberFormat="1" applyFont="1" applyFill="1" applyBorder="1" applyAlignment="1" applyProtection="1">
      <alignment horizontal="center" vertical="top" wrapText="1"/>
      <protection/>
    </xf>
    <xf numFmtId="192" fontId="0" fillId="13" borderId="54" xfId="0" applyNumberFormat="1" applyFont="1" applyFill="1" applyBorder="1" applyAlignment="1" applyProtection="1">
      <alignment horizontal="center" vertical="top" wrapText="1"/>
      <protection/>
    </xf>
    <xf numFmtId="192" fontId="0" fillId="0" borderId="101" xfId="0" applyNumberFormat="1" applyFont="1" applyFill="1" applyBorder="1" applyAlignment="1" applyProtection="1">
      <alignment horizontal="center" vertical="top" wrapText="1"/>
      <protection/>
    </xf>
    <xf numFmtId="192" fontId="0" fillId="0" borderId="97" xfId="0" applyNumberFormat="1" applyFont="1" applyFill="1" applyBorder="1" applyAlignment="1" applyProtection="1">
      <alignment horizontal="center" vertical="top" wrapText="1"/>
      <protection/>
    </xf>
    <xf numFmtId="0" fontId="8" fillId="0" borderId="9" xfId="0" applyFont="1" applyFill="1" applyBorder="1" applyAlignment="1" applyProtection="1">
      <alignment vertical="top" wrapText="1"/>
      <protection/>
    </xf>
    <xf numFmtId="0" fontId="8" fillId="0" borderId="39" xfId="0" applyFont="1" applyFill="1" applyBorder="1" applyAlignment="1" applyProtection="1">
      <alignment vertical="top" wrapText="1"/>
      <protection/>
    </xf>
    <xf numFmtId="0" fontId="8" fillId="13" borderId="39" xfId="0" applyFont="1" applyFill="1" applyBorder="1" applyAlignment="1" applyProtection="1">
      <alignment vertical="top"/>
      <protection/>
    </xf>
    <xf numFmtId="0" fontId="8" fillId="13" borderId="39" xfId="0" applyFont="1" applyFill="1" applyBorder="1" applyAlignment="1" applyProtection="1">
      <alignment vertical="top" wrapText="1"/>
      <protection/>
    </xf>
    <xf numFmtId="184" fontId="1" fillId="0" borderId="0" xfId="48" applyNumberFormat="1" applyFont="1" applyFill="1" applyBorder="1" applyAlignment="1">
      <alignment horizontal="right"/>
      <protection/>
    </xf>
    <xf numFmtId="0" fontId="0" fillId="0" borderId="0" xfId="0" applyNumberFormat="1" applyAlignment="1">
      <alignment/>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lignment/>
    </xf>
    <xf numFmtId="0" fontId="21" fillId="5" borderId="69" xfId="0" applyFont="1" applyFill="1" applyBorder="1" applyAlignment="1" applyProtection="1">
      <alignment horizontal="center" vertical="top"/>
      <protection/>
    </xf>
    <xf numFmtId="0" fontId="21" fillId="5" borderId="70" xfId="0" applyFont="1" applyFill="1" applyBorder="1" applyAlignment="1" applyProtection="1">
      <alignment horizontal="center" vertical="top"/>
      <protection/>
    </xf>
    <xf numFmtId="0" fontId="87" fillId="16" borderId="102" xfId="0" applyFont="1" applyFill="1" applyBorder="1" applyAlignment="1" applyProtection="1">
      <alignment horizontal="center" vertical="top"/>
      <protection/>
    </xf>
    <xf numFmtId="0" fontId="87" fillId="16" borderId="103" xfId="0" applyFont="1" applyFill="1" applyBorder="1" applyAlignment="1" applyProtection="1">
      <alignment horizontal="center" vertical="top"/>
      <protection/>
    </xf>
    <xf numFmtId="0" fontId="87" fillId="16" borderId="73" xfId="0" applyFont="1" applyFill="1" applyBorder="1" applyAlignment="1" applyProtection="1">
      <alignment horizontal="center" vertical="top"/>
      <protection/>
    </xf>
    <xf numFmtId="0" fontId="87" fillId="16" borderId="74" xfId="0" applyFont="1" applyFill="1" applyBorder="1" applyAlignment="1" applyProtection="1">
      <alignment horizontal="center" vertical="top"/>
      <protection/>
    </xf>
    <xf numFmtId="0" fontId="2" fillId="0" borderId="6" xfId="0" applyFont="1" applyBorder="1" applyAlignment="1">
      <alignment horizontal="center"/>
    </xf>
    <xf numFmtId="0" fontId="23" fillId="5" borderId="38" xfId="0" applyFont="1" applyFill="1" applyBorder="1" applyAlignment="1">
      <alignment horizontal="left" vertical="center" wrapText="1"/>
    </xf>
    <xf numFmtId="0" fontId="2" fillId="0" borderId="0" xfId="0" applyNumberFormat="1" applyFont="1" applyAlignment="1">
      <alignment wrapText="1"/>
    </xf>
    <xf numFmtId="0" fontId="0" fillId="0" borderId="0" xfId="0" applyAlignment="1">
      <alignment wrapText="1"/>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85725</xdr:colOff>
      <xdr:row>10</xdr:row>
      <xdr:rowOff>47625</xdr:rowOff>
    </xdr:from>
    <xdr:to>
      <xdr:col>6</xdr:col>
      <xdr:colOff>419100</xdr:colOff>
      <xdr:row>10</xdr:row>
      <xdr:rowOff>219075</xdr:rowOff>
    </xdr:to>
    <xdr:sp macro="[0]!GoRoad">
      <xdr:nvSpPr>
        <xdr:cNvPr id="1" name="Text 234"/>
        <xdr:cNvSpPr txBox="1">
          <a:spLocks noChangeArrowheads="1"/>
        </xdr:cNvSpPr>
      </xdr:nvSpPr>
      <xdr:spPr>
        <a:xfrm>
          <a:off x="2609850" y="1933575"/>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11</xdr:row>
      <xdr:rowOff>47625</xdr:rowOff>
    </xdr:from>
    <xdr:to>
      <xdr:col>6</xdr:col>
      <xdr:colOff>419100</xdr:colOff>
      <xdr:row>11</xdr:row>
      <xdr:rowOff>219075</xdr:rowOff>
    </xdr:to>
    <xdr:sp macro="[0]!GoRoadDist">
      <xdr:nvSpPr>
        <xdr:cNvPr id="2" name="Text 235"/>
        <xdr:cNvSpPr txBox="1">
          <a:spLocks noChangeArrowheads="1"/>
        </xdr:cNvSpPr>
      </xdr:nvSpPr>
      <xdr:spPr>
        <a:xfrm>
          <a:off x="2609850" y="2209800"/>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12</xdr:row>
      <xdr:rowOff>47625</xdr:rowOff>
    </xdr:from>
    <xdr:to>
      <xdr:col>6</xdr:col>
      <xdr:colOff>419100</xdr:colOff>
      <xdr:row>12</xdr:row>
      <xdr:rowOff>219075</xdr:rowOff>
    </xdr:to>
    <xdr:sp macro="[0]!GoTrain">
      <xdr:nvSpPr>
        <xdr:cNvPr id="3" name="Text 236"/>
        <xdr:cNvSpPr txBox="1">
          <a:spLocks noChangeArrowheads="1"/>
        </xdr:cNvSpPr>
      </xdr:nvSpPr>
      <xdr:spPr>
        <a:xfrm>
          <a:off x="2609850" y="2486025"/>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13</xdr:row>
      <xdr:rowOff>47625</xdr:rowOff>
    </xdr:from>
    <xdr:to>
      <xdr:col>6</xdr:col>
      <xdr:colOff>419100</xdr:colOff>
      <xdr:row>13</xdr:row>
      <xdr:rowOff>219075</xdr:rowOff>
    </xdr:to>
    <xdr:sp macro="[0]!GoTrainDist">
      <xdr:nvSpPr>
        <xdr:cNvPr id="4" name="Text 237"/>
        <xdr:cNvSpPr txBox="1">
          <a:spLocks noChangeArrowheads="1"/>
        </xdr:cNvSpPr>
      </xdr:nvSpPr>
      <xdr:spPr>
        <a:xfrm>
          <a:off x="2609850" y="2762250"/>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14</xdr:row>
      <xdr:rowOff>47625</xdr:rowOff>
    </xdr:from>
    <xdr:to>
      <xdr:col>6</xdr:col>
      <xdr:colOff>419100</xdr:colOff>
      <xdr:row>14</xdr:row>
      <xdr:rowOff>219075</xdr:rowOff>
    </xdr:to>
    <xdr:sp macro="[0]!GoShip">
      <xdr:nvSpPr>
        <xdr:cNvPr id="5" name="Text 238"/>
        <xdr:cNvSpPr txBox="1">
          <a:spLocks noChangeArrowheads="1"/>
        </xdr:cNvSpPr>
      </xdr:nvSpPr>
      <xdr:spPr>
        <a:xfrm>
          <a:off x="2609850" y="3028950"/>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15</xdr:row>
      <xdr:rowOff>47625</xdr:rowOff>
    </xdr:from>
    <xdr:to>
      <xdr:col>6</xdr:col>
      <xdr:colOff>419100</xdr:colOff>
      <xdr:row>15</xdr:row>
      <xdr:rowOff>219075</xdr:rowOff>
    </xdr:to>
    <xdr:sp macro="[0]!GoShipDist">
      <xdr:nvSpPr>
        <xdr:cNvPr id="6" name="Text 239"/>
        <xdr:cNvSpPr txBox="1">
          <a:spLocks noChangeArrowheads="1"/>
        </xdr:cNvSpPr>
      </xdr:nvSpPr>
      <xdr:spPr>
        <a:xfrm>
          <a:off x="2609850" y="3305175"/>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16</xdr:row>
      <xdr:rowOff>47625</xdr:rowOff>
    </xdr:from>
    <xdr:to>
      <xdr:col>6</xdr:col>
      <xdr:colOff>419100</xdr:colOff>
      <xdr:row>16</xdr:row>
      <xdr:rowOff>219075</xdr:rowOff>
    </xdr:to>
    <xdr:sp macro="[0]!GoAir">
      <xdr:nvSpPr>
        <xdr:cNvPr id="7" name="Text 240"/>
        <xdr:cNvSpPr txBox="1">
          <a:spLocks noChangeArrowheads="1"/>
        </xdr:cNvSpPr>
      </xdr:nvSpPr>
      <xdr:spPr>
        <a:xfrm>
          <a:off x="2609850" y="3581400"/>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twoCellAnchor editAs="absolute">
    <xdr:from>
      <xdr:col>5</xdr:col>
      <xdr:colOff>85725</xdr:colOff>
      <xdr:row>17</xdr:row>
      <xdr:rowOff>47625</xdr:rowOff>
    </xdr:from>
    <xdr:to>
      <xdr:col>6</xdr:col>
      <xdr:colOff>419100</xdr:colOff>
      <xdr:row>17</xdr:row>
      <xdr:rowOff>219075</xdr:rowOff>
    </xdr:to>
    <xdr:sp macro="[0]!GoAirDist">
      <xdr:nvSpPr>
        <xdr:cNvPr id="8" name="Text 241"/>
        <xdr:cNvSpPr txBox="1">
          <a:spLocks noChangeArrowheads="1"/>
        </xdr:cNvSpPr>
      </xdr:nvSpPr>
      <xdr:spPr>
        <a:xfrm>
          <a:off x="2609850" y="3857625"/>
          <a:ext cx="723900"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Edit details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49</xdr:row>
      <xdr:rowOff>38100</xdr:rowOff>
    </xdr:from>
    <xdr:to>
      <xdr:col>5</xdr:col>
      <xdr:colOff>266700</xdr:colOff>
      <xdr:row>62</xdr:row>
      <xdr:rowOff>114300</xdr:rowOff>
    </xdr:to>
    <xdr:sp>
      <xdr:nvSpPr>
        <xdr:cNvPr id="1" name="Line 295"/>
        <xdr:cNvSpPr>
          <a:spLocks/>
        </xdr:cNvSpPr>
      </xdr:nvSpPr>
      <xdr:spPr>
        <a:xfrm>
          <a:off x="1047750" y="8315325"/>
          <a:ext cx="0" cy="2552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48</xdr:row>
      <xdr:rowOff>171450</xdr:rowOff>
    </xdr:from>
    <xdr:to>
      <xdr:col>10</xdr:col>
      <xdr:colOff>514350</xdr:colOff>
      <xdr:row>62</xdr:row>
      <xdr:rowOff>152400</xdr:rowOff>
    </xdr:to>
    <xdr:sp>
      <xdr:nvSpPr>
        <xdr:cNvPr id="2" name="Polygon 296"/>
        <xdr:cNvSpPr>
          <a:spLocks/>
        </xdr:cNvSpPr>
      </xdr:nvSpPr>
      <xdr:spPr>
        <a:xfrm>
          <a:off x="1219200" y="8258175"/>
          <a:ext cx="3295650" cy="2647950"/>
        </a:xfrm>
        <a:custGeom>
          <a:pathLst>
            <a:path h="217" w="156">
              <a:moveTo>
                <a:pt x="156" y="0"/>
              </a:moveTo>
              <a:lnTo>
                <a:pt x="0" y="69"/>
              </a:lnTo>
              <a:lnTo>
                <a:pt x="0" y="217"/>
              </a:lnTo>
            </a:path>
          </a:pathLst>
        </a:cu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50</xdr:row>
      <xdr:rowOff>76200</xdr:rowOff>
    </xdr:from>
    <xdr:to>
      <xdr:col>11</xdr:col>
      <xdr:colOff>180975</xdr:colOff>
      <xdr:row>62</xdr:row>
      <xdr:rowOff>133350</xdr:rowOff>
    </xdr:to>
    <xdr:sp>
      <xdr:nvSpPr>
        <xdr:cNvPr id="3" name="Line 297"/>
        <xdr:cNvSpPr>
          <a:spLocks/>
        </xdr:cNvSpPr>
      </xdr:nvSpPr>
      <xdr:spPr>
        <a:xfrm>
          <a:off x="4791075" y="8543925"/>
          <a:ext cx="0" cy="2343150"/>
        </a:xfrm>
        <a:prstGeom prst="line">
          <a:avLst/>
        </a:prstGeom>
        <a:noFill/>
        <a:ln w="127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59</xdr:row>
      <xdr:rowOff>123825</xdr:rowOff>
    </xdr:from>
    <xdr:to>
      <xdr:col>10</xdr:col>
      <xdr:colOff>142875</xdr:colOff>
      <xdr:row>59</xdr:row>
      <xdr:rowOff>133350</xdr:rowOff>
    </xdr:to>
    <xdr:sp>
      <xdr:nvSpPr>
        <xdr:cNvPr id="4" name="Line 298"/>
        <xdr:cNvSpPr>
          <a:spLocks/>
        </xdr:cNvSpPr>
      </xdr:nvSpPr>
      <xdr:spPr>
        <a:xfrm>
          <a:off x="2190750" y="10306050"/>
          <a:ext cx="1952625" cy="952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52</xdr:row>
      <xdr:rowOff>85725</xdr:rowOff>
    </xdr:from>
    <xdr:to>
      <xdr:col>10</xdr:col>
      <xdr:colOff>314325</xdr:colOff>
      <xdr:row>58</xdr:row>
      <xdr:rowOff>9525</xdr:rowOff>
    </xdr:to>
    <xdr:sp>
      <xdr:nvSpPr>
        <xdr:cNvPr id="5" name="Line 299"/>
        <xdr:cNvSpPr>
          <a:spLocks/>
        </xdr:cNvSpPr>
      </xdr:nvSpPr>
      <xdr:spPr>
        <a:xfrm>
          <a:off x="4086225" y="8934450"/>
          <a:ext cx="228600" cy="106680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485775</xdr:colOff>
      <xdr:row>3</xdr:row>
      <xdr:rowOff>57150</xdr:rowOff>
    </xdr:from>
    <xdr:to>
      <xdr:col>13</xdr:col>
      <xdr:colOff>1000125</xdr:colOff>
      <xdr:row>3</xdr:row>
      <xdr:rowOff>219075</xdr:rowOff>
    </xdr:to>
    <xdr:sp macro="[0]!Go_Home">
      <xdr:nvSpPr>
        <xdr:cNvPr id="1" name="TextBox 359"/>
        <xdr:cNvSpPr txBox="1">
          <a:spLocks noChangeArrowheads="1"/>
        </xdr:cNvSpPr>
      </xdr:nvSpPr>
      <xdr:spPr>
        <a:xfrm>
          <a:off x="7505700" y="133350"/>
          <a:ext cx="1181100" cy="1619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Home/Summary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3</xdr:row>
      <xdr:rowOff>9525</xdr:rowOff>
    </xdr:from>
    <xdr:to>
      <xdr:col>15</xdr:col>
      <xdr:colOff>47625</xdr:colOff>
      <xdr:row>3</xdr:row>
      <xdr:rowOff>171450</xdr:rowOff>
    </xdr:to>
    <xdr:sp macro="[0]!Go_Home">
      <xdr:nvSpPr>
        <xdr:cNvPr id="1" name="TextBox 861"/>
        <xdr:cNvSpPr txBox="1">
          <a:spLocks noChangeArrowheads="1"/>
        </xdr:cNvSpPr>
      </xdr:nvSpPr>
      <xdr:spPr>
        <a:xfrm>
          <a:off x="9001125" y="95250"/>
          <a:ext cx="1333500" cy="1619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Home/Summary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323850</xdr:colOff>
      <xdr:row>3</xdr:row>
      <xdr:rowOff>95250</xdr:rowOff>
    </xdr:from>
    <xdr:to>
      <xdr:col>14</xdr:col>
      <xdr:colOff>361950</xdr:colOff>
      <xdr:row>3</xdr:row>
      <xdr:rowOff>257175</xdr:rowOff>
    </xdr:to>
    <xdr:sp macro="[0]!Go_Home">
      <xdr:nvSpPr>
        <xdr:cNvPr id="1" name="TextBox 293"/>
        <xdr:cNvSpPr txBox="1">
          <a:spLocks noChangeArrowheads="1"/>
        </xdr:cNvSpPr>
      </xdr:nvSpPr>
      <xdr:spPr>
        <a:xfrm>
          <a:off x="9582150" y="428625"/>
          <a:ext cx="952500" cy="1619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Home/Summary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utoemission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2005"/>
  <sheetViews>
    <sheetView showGridLines="0" tabSelected="1" zoomScale="80" zoomScaleNormal="80" workbookViewId="0" topLeftCell="A3">
      <selection activeCell="B5" sqref="B5"/>
    </sheetView>
  </sheetViews>
  <sheetFormatPr defaultColWidth="9.140625" defaultRowHeight="12.75"/>
  <cols>
    <col min="1" max="1" width="0.13671875" style="0" customWidth="1"/>
    <col min="2" max="2" width="13.00390625" style="0" customWidth="1"/>
    <col min="3" max="3" width="7.00390625" style="0" customWidth="1"/>
    <col min="4" max="4" width="7.8515625" style="0" customWidth="1"/>
    <col min="5" max="5" width="9.8515625" style="0" customWidth="1"/>
    <col min="6" max="6" width="5.8515625" style="0" customWidth="1"/>
    <col min="7" max="7" width="11.7109375" style="0" customWidth="1"/>
    <col min="8" max="8" width="27.28125" style="0" customWidth="1"/>
    <col min="9" max="9" width="4.421875" style="0" customWidth="1"/>
    <col min="11" max="11" width="5.00390625" style="0" customWidth="1"/>
    <col min="12" max="12" width="30.421875" style="0" customWidth="1"/>
    <col min="13" max="13" width="4.421875" style="0" customWidth="1"/>
    <col min="14" max="16384" width="9.140625" style="15" customWidth="1"/>
  </cols>
  <sheetData>
    <row r="1" spans="1:16" ht="4.5" customHeight="1" hidden="1">
      <c r="A1" s="35"/>
      <c r="B1" s="35"/>
      <c r="C1" s="35"/>
      <c r="D1" s="35"/>
      <c r="E1" s="35"/>
      <c r="F1" s="35"/>
      <c r="G1" s="35"/>
      <c r="H1" s="35"/>
      <c r="I1" s="35"/>
      <c r="J1" s="35"/>
      <c r="K1" s="35"/>
      <c r="L1" s="35"/>
      <c r="M1" s="35"/>
      <c r="N1" s="35"/>
      <c r="O1" s="35"/>
      <c r="P1" s="35"/>
    </row>
    <row r="2" spans="1:35" ht="15" customHeight="1" hidden="1">
      <c r="A2" s="35"/>
      <c r="B2" s="36"/>
      <c r="C2" s="37"/>
      <c r="D2" s="38"/>
      <c r="E2" s="35"/>
      <c r="F2" s="35"/>
      <c r="G2" s="35"/>
      <c r="H2" s="35"/>
      <c r="I2" s="35"/>
      <c r="J2" s="35"/>
      <c r="K2" s="35"/>
      <c r="L2" s="35"/>
      <c r="M2" s="35"/>
      <c r="N2" s="35"/>
      <c r="O2" s="35"/>
      <c r="P2" s="35"/>
      <c r="AI2" s="15" t="s">
        <v>985</v>
      </c>
    </row>
    <row r="3" s="40" customFormat="1" ht="3.75" customHeight="1" thickBot="1"/>
    <row r="4" spans="2:4" s="147" customFormat="1" ht="21.75" customHeight="1">
      <c r="B4" s="993" t="s">
        <v>608</v>
      </c>
      <c r="D4" s="148"/>
    </row>
    <row r="5" spans="2:5" s="149" customFormat="1" ht="21.75" customHeight="1">
      <c r="B5" s="620" t="s">
        <v>986</v>
      </c>
      <c r="D5" s="150"/>
      <c r="E5" s="150"/>
    </row>
    <row r="6" spans="2:8" s="617" customFormat="1" ht="21.75" customHeight="1">
      <c r="B6" s="618" t="s">
        <v>577</v>
      </c>
      <c r="C6" s="619"/>
      <c r="D6" s="616"/>
      <c r="E6" s="616"/>
      <c r="F6" s="616"/>
      <c r="G6" s="616"/>
      <c r="H6" s="616"/>
    </row>
    <row r="7" spans="1:14" s="144" customFormat="1" ht="25.5" customHeight="1">
      <c r="A7" s="184"/>
      <c r="B7" s="145" t="s">
        <v>735</v>
      </c>
      <c r="C7" s="142"/>
      <c r="D7" s="143"/>
      <c r="E7" s="143"/>
      <c r="F7" s="142"/>
      <c r="G7" s="142"/>
      <c r="H7" s="142"/>
      <c r="I7" s="142"/>
      <c r="J7" s="142"/>
      <c r="K7" s="142"/>
      <c r="L7" s="142"/>
      <c r="M7" s="142"/>
      <c r="N7" s="185"/>
    </row>
    <row r="8" spans="1:11" s="28" customFormat="1" ht="21.75" customHeight="1">
      <c r="A8" s="31"/>
      <c r="B8" s="33"/>
      <c r="C8" s="19"/>
      <c r="D8" s="32"/>
      <c r="E8"/>
      <c r="F8"/>
      <c r="G8"/>
      <c r="H8"/>
      <c r="I8"/>
      <c r="J8"/>
      <c r="K8" s="21"/>
    </row>
    <row r="9" spans="1:12" s="28" customFormat="1" ht="15.75" customHeight="1">
      <c r="A9" s="31"/>
      <c r="B9" s="176" t="s">
        <v>987</v>
      </c>
      <c r="C9" s="15"/>
      <c r="D9" s="15"/>
      <c r="E9"/>
      <c r="F9"/>
      <c r="G9"/>
      <c r="H9"/>
      <c r="I9"/>
      <c r="J9"/>
      <c r="K9" s="21"/>
      <c r="L9" s="21"/>
    </row>
    <row r="10" spans="1:12" s="28" customFormat="1" ht="16.5" customHeight="1" thickBot="1">
      <c r="A10" s="31"/>
      <c r="B10"/>
      <c r="C10"/>
      <c r="D10"/>
      <c r="E10"/>
      <c r="F10"/>
      <c r="G10"/>
      <c r="H10"/>
      <c r="I10"/>
      <c r="J10"/>
      <c r="K10" s="21"/>
      <c r="L10" s="21"/>
    </row>
    <row r="11" spans="1:12" s="28" customFormat="1" ht="21.75" customHeight="1">
      <c r="A11" s="31"/>
      <c r="B11" s="202" t="s">
        <v>988</v>
      </c>
      <c r="C11" s="196" t="s">
        <v>989</v>
      </c>
      <c r="D11" s="196"/>
      <c r="E11" s="196"/>
      <c r="F11" s="197"/>
      <c r="G11" s="198"/>
      <c r="H11" s="199">
        <f>D1_Road_total</f>
        <v>0</v>
      </c>
      <c r="I11" s="222" t="s">
        <v>990</v>
      </c>
      <c r="J11" s="21"/>
      <c r="K11" s="21"/>
      <c r="L11" s="21"/>
    </row>
    <row r="12" spans="1:13" s="28" customFormat="1" ht="21.75" customHeight="1" thickBot="1">
      <c r="A12" s="31"/>
      <c r="B12" s="178" t="s">
        <v>991</v>
      </c>
      <c r="C12" s="179" t="s">
        <v>993</v>
      </c>
      <c r="D12" s="179"/>
      <c r="E12" s="179"/>
      <c r="F12" s="182"/>
      <c r="G12" s="177"/>
      <c r="H12" s="188">
        <f>IN2_Road_total</f>
        <v>0</v>
      </c>
      <c r="I12" s="223" t="s">
        <v>990</v>
      </c>
      <c r="K12" s="21"/>
      <c r="L12" s="21"/>
      <c r="M12" s="21"/>
    </row>
    <row r="13" spans="1:9" s="20" customFormat="1" ht="21.75" customHeight="1">
      <c r="A13" s="31"/>
      <c r="B13" s="195" t="s">
        <v>994</v>
      </c>
      <c r="C13" s="196" t="s">
        <v>989</v>
      </c>
      <c r="D13" s="196"/>
      <c r="E13" s="196"/>
      <c r="F13" s="197"/>
      <c r="G13" s="198"/>
      <c r="H13" s="199">
        <f>D1_Rail_total</f>
        <v>0</v>
      </c>
      <c r="I13" s="222" t="s">
        <v>990</v>
      </c>
    </row>
    <row r="14" spans="1:11" s="20" customFormat="1" ht="21" customHeight="1" thickBot="1">
      <c r="A14" s="31"/>
      <c r="B14" s="186"/>
      <c r="C14" s="181" t="s">
        <v>993</v>
      </c>
      <c r="D14" s="181"/>
      <c r="E14" s="181"/>
      <c r="F14" s="189"/>
      <c r="G14" s="190"/>
      <c r="H14" s="191">
        <f>In2_Rail_total</f>
        <v>0</v>
      </c>
      <c r="I14" s="224" t="s">
        <v>990</v>
      </c>
      <c r="J14" s="21"/>
      <c r="K14" s="21"/>
    </row>
    <row r="15" spans="1:12" s="28" customFormat="1" ht="21.75" customHeight="1">
      <c r="A15" s="31"/>
      <c r="B15" s="195" t="s">
        <v>734</v>
      </c>
      <c r="C15" s="196" t="s">
        <v>989</v>
      </c>
      <c r="D15" s="196"/>
      <c r="E15" s="196"/>
      <c r="F15" s="197"/>
      <c r="G15" s="198"/>
      <c r="H15" s="199">
        <f>D1_Boat_total</f>
        <v>0</v>
      </c>
      <c r="I15" s="222" t="s">
        <v>990</v>
      </c>
      <c r="J15" s="21"/>
      <c r="K15" s="21"/>
      <c r="L15" s="21"/>
    </row>
    <row r="16" spans="1:12" s="28" customFormat="1" ht="21.75" customHeight="1" thickBot="1">
      <c r="A16" s="31"/>
      <c r="B16" s="187"/>
      <c r="C16" s="179" t="s">
        <v>993</v>
      </c>
      <c r="D16" s="179"/>
      <c r="E16" s="179"/>
      <c r="F16" s="182"/>
      <c r="G16" s="177"/>
      <c r="H16" s="188">
        <f>In2_Boat_total</f>
        <v>0</v>
      </c>
      <c r="I16" s="223" t="s">
        <v>990</v>
      </c>
      <c r="J16" s="21"/>
      <c r="K16" s="21"/>
      <c r="L16" s="21"/>
    </row>
    <row r="17" spans="1:13" ht="21.75" customHeight="1">
      <c r="A17" s="31"/>
      <c r="B17" s="195" t="s">
        <v>995</v>
      </c>
      <c r="C17" s="196" t="s">
        <v>989</v>
      </c>
      <c r="D17" s="196"/>
      <c r="E17" s="196"/>
      <c r="F17" s="197"/>
      <c r="G17" s="198"/>
      <c r="H17" s="199">
        <f>D1_Air_total</f>
        <v>0</v>
      </c>
      <c r="I17" s="222" t="s">
        <v>990</v>
      </c>
      <c r="J17" s="15"/>
      <c r="K17" s="15"/>
      <c r="L17" s="15"/>
      <c r="M17" s="15"/>
    </row>
    <row r="18" spans="1:13" ht="21.75" customHeight="1" thickBot="1">
      <c r="A18" s="31"/>
      <c r="B18" s="180"/>
      <c r="C18" s="181" t="s">
        <v>993</v>
      </c>
      <c r="D18" s="181"/>
      <c r="E18" s="181"/>
      <c r="F18" s="192"/>
      <c r="G18" s="193"/>
      <c r="H18" s="194">
        <f>In2_Air_total</f>
        <v>0</v>
      </c>
      <c r="I18" s="225" t="s">
        <v>990</v>
      </c>
      <c r="J18" s="15"/>
      <c r="K18" s="15"/>
      <c r="L18" s="15"/>
      <c r="M18" s="15"/>
    </row>
    <row r="19" spans="1:9" s="183" customFormat="1" ht="21.75" customHeight="1">
      <c r="A19" s="31"/>
      <c r="B19" s="200" t="s">
        <v>996</v>
      </c>
      <c r="C19" s="201"/>
      <c r="D19" s="201"/>
      <c r="E19" s="201"/>
      <c r="F19" s="192"/>
      <c r="G19" s="193"/>
      <c r="H19" s="194">
        <f>SUM(H11:H18)</f>
        <v>0</v>
      </c>
      <c r="I19" s="225" t="s">
        <v>990</v>
      </c>
    </row>
    <row r="20" spans="1:13" ht="9.75" customHeight="1">
      <c r="A20" s="31"/>
      <c r="B20" s="45"/>
      <c r="C20" s="98"/>
      <c r="D20" s="249"/>
      <c r="K20" s="15"/>
      <c r="L20" s="15"/>
      <c r="M20" s="15"/>
    </row>
    <row r="21" spans="1:13" ht="12.75">
      <c r="A21" s="31"/>
      <c r="B21" s="45" t="s">
        <v>997</v>
      </c>
      <c r="C21" s="98"/>
      <c r="D21" s="98"/>
      <c r="K21" s="15"/>
      <c r="L21" s="15"/>
      <c r="M21" s="15"/>
    </row>
    <row r="22" spans="1:13" ht="12.75" customHeight="1">
      <c r="A22" s="31"/>
      <c r="D22" s="15"/>
      <c r="K22" s="15"/>
      <c r="L22" s="15"/>
      <c r="M22" s="15"/>
    </row>
    <row r="23" spans="1:13" ht="38.25" customHeight="1">
      <c r="A23" s="31"/>
      <c r="B23" s="98"/>
      <c r="C23" s="15"/>
      <c r="D23" s="15"/>
      <c r="K23" s="15"/>
      <c r="L23" s="15"/>
      <c r="M23" s="15"/>
    </row>
    <row r="24" spans="1:13" ht="38.25" customHeight="1">
      <c r="A24" s="31"/>
      <c r="B24" s="15"/>
      <c r="C24" s="15"/>
      <c r="D24" s="15"/>
      <c r="E24" s="15"/>
      <c r="F24" s="15"/>
      <c r="G24" s="15"/>
      <c r="H24" s="15"/>
      <c r="I24" s="15"/>
      <c r="J24" s="15"/>
      <c r="K24" s="15"/>
      <c r="L24" s="15"/>
      <c r="M24" s="15"/>
    </row>
    <row r="25" spans="1:13" ht="38.25" customHeight="1">
      <c r="A25" s="31"/>
      <c r="B25" s="15"/>
      <c r="C25" s="15"/>
      <c r="D25" s="15"/>
      <c r="E25" s="15"/>
      <c r="F25" s="15"/>
      <c r="G25" s="15"/>
      <c r="H25" s="15"/>
      <c r="I25" s="15"/>
      <c r="J25" s="15"/>
      <c r="K25" s="15"/>
      <c r="L25" s="15"/>
      <c r="M25" s="15"/>
    </row>
    <row r="26" spans="1:13" ht="38.25" customHeight="1">
      <c r="A26" s="31"/>
      <c r="B26" s="15"/>
      <c r="C26" s="15"/>
      <c r="D26" s="15"/>
      <c r="E26" s="15"/>
      <c r="F26" s="15"/>
      <c r="G26" s="15"/>
      <c r="H26" s="15"/>
      <c r="I26" s="15"/>
      <c r="J26" s="15"/>
      <c r="K26" s="15"/>
      <c r="L26" s="15"/>
      <c r="M26" s="15"/>
    </row>
    <row r="27" spans="1:13" ht="38.25" customHeight="1">
      <c r="A27" s="31"/>
      <c r="B27" s="15"/>
      <c r="C27" s="15"/>
      <c r="D27" s="15"/>
      <c r="E27" s="15"/>
      <c r="F27" s="15"/>
      <c r="G27" s="15"/>
      <c r="H27" s="15"/>
      <c r="I27" s="15"/>
      <c r="J27" s="15"/>
      <c r="K27" s="15"/>
      <c r="L27" s="15"/>
      <c r="M27" s="15"/>
    </row>
    <row r="28" spans="1:13" ht="38.25" customHeight="1">
      <c r="A28" s="31"/>
      <c r="B28" s="15"/>
      <c r="C28" s="15"/>
      <c r="D28" s="15"/>
      <c r="E28" s="15"/>
      <c r="F28" s="15"/>
      <c r="G28" s="15"/>
      <c r="H28" s="15"/>
      <c r="I28" s="15"/>
      <c r="J28" s="15"/>
      <c r="K28" s="15"/>
      <c r="L28" s="15"/>
      <c r="M28" s="15"/>
    </row>
    <row r="29" spans="1:13" ht="38.25" customHeight="1">
      <c r="A29" s="31"/>
      <c r="B29" s="15"/>
      <c r="C29" s="22"/>
      <c r="D29" s="15"/>
      <c r="E29" s="15"/>
      <c r="F29" s="15"/>
      <c r="G29" s="15"/>
      <c r="H29" s="15"/>
      <c r="I29" s="15"/>
      <c r="J29" s="15"/>
      <c r="K29" s="15"/>
      <c r="L29" s="15"/>
      <c r="M29" s="15"/>
    </row>
    <row r="30" spans="1:13" ht="38.25" customHeight="1">
      <c r="A30" s="31"/>
      <c r="B30" s="15"/>
      <c r="C30" s="15"/>
      <c r="D30" s="15"/>
      <c r="E30" s="15"/>
      <c r="F30" s="15"/>
      <c r="G30" s="15"/>
      <c r="H30" s="15"/>
      <c r="I30" s="15"/>
      <c r="J30" s="15"/>
      <c r="K30" s="15"/>
      <c r="L30" s="15"/>
      <c r="M30" s="15"/>
    </row>
    <row r="31" spans="1:13" ht="38.25" customHeight="1">
      <c r="A31" s="31"/>
      <c r="B31" s="15"/>
      <c r="C31" s="15"/>
      <c r="D31" s="15"/>
      <c r="E31" s="15"/>
      <c r="F31" s="15"/>
      <c r="G31" s="15"/>
      <c r="H31" s="15"/>
      <c r="I31" s="15"/>
      <c r="J31" s="15"/>
      <c r="K31" s="15"/>
      <c r="L31" s="15"/>
      <c r="M31" s="15"/>
    </row>
    <row r="32" spans="1:13" ht="38.25" customHeight="1">
      <c r="A32" s="31"/>
      <c r="B32" s="15"/>
      <c r="C32" s="15"/>
      <c r="D32" s="15"/>
      <c r="E32" s="15"/>
      <c r="F32" s="15"/>
      <c r="G32" s="15"/>
      <c r="H32" s="15"/>
      <c r="I32" s="15"/>
      <c r="J32" s="15"/>
      <c r="K32" s="15"/>
      <c r="L32" s="15"/>
      <c r="M32" s="15"/>
    </row>
    <row r="33" spans="1:13" ht="38.25" customHeight="1">
      <c r="A33" s="31"/>
      <c r="B33" s="15"/>
      <c r="C33" s="15"/>
      <c r="D33" s="15"/>
      <c r="E33" s="15"/>
      <c r="F33" s="15"/>
      <c r="G33" s="15"/>
      <c r="H33" s="15"/>
      <c r="I33" s="15"/>
      <c r="J33" s="15"/>
      <c r="K33" s="15"/>
      <c r="L33" s="15"/>
      <c r="M33" s="15"/>
    </row>
    <row r="34" spans="1:13" ht="38.25" customHeight="1">
      <c r="A34" s="31"/>
      <c r="B34" s="15"/>
      <c r="C34" s="15"/>
      <c r="D34" s="15"/>
      <c r="E34" s="15"/>
      <c r="F34" s="15"/>
      <c r="G34" s="15"/>
      <c r="H34" s="15"/>
      <c r="I34" s="15"/>
      <c r="J34" s="15"/>
      <c r="K34" s="15"/>
      <c r="L34" s="15"/>
      <c r="M34" s="15"/>
    </row>
    <row r="35" spans="1:13" ht="38.25" customHeight="1">
      <c r="A35" s="31"/>
      <c r="B35" s="15"/>
      <c r="C35" s="15"/>
      <c r="D35" s="15"/>
      <c r="E35" s="15"/>
      <c r="F35" s="15"/>
      <c r="G35" s="15"/>
      <c r="H35" s="15"/>
      <c r="I35" s="15"/>
      <c r="J35" s="15"/>
      <c r="K35" s="15"/>
      <c r="L35" s="15"/>
      <c r="M35" s="15"/>
    </row>
    <row r="36" spans="1:13" ht="38.25" customHeight="1">
      <c r="A36" s="31"/>
      <c r="B36" s="15"/>
      <c r="C36" s="15"/>
      <c r="D36" s="15"/>
      <c r="E36" s="15"/>
      <c r="F36" s="15"/>
      <c r="G36" s="15"/>
      <c r="H36" s="15"/>
      <c r="I36" s="15"/>
      <c r="J36" s="15"/>
      <c r="K36" s="15"/>
      <c r="L36" s="15"/>
      <c r="M36" s="15"/>
    </row>
    <row r="37" spans="1:13" ht="38.25" customHeight="1">
      <c r="A37" s="31"/>
      <c r="B37" s="15"/>
      <c r="C37" s="15"/>
      <c r="D37" s="15"/>
      <c r="E37" s="15"/>
      <c r="F37" s="15"/>
      <c r="G37" s="15"/>
      <c r="H37" s="15"/>
      <c r="I37" s="15"/>
      <c r="J37" s="15"/>
      <c r="K37" s="15"/>
      <c r="L37" s="15"/>
      <c r="M37" s="15"/>
    </row>
    <row r="38" spans="1:14" ht="38.25" customHeight="1">
      <c r="A38" s="31"/>
      <c r="B38" s="15"/>
      <c r="C38" s="15"/>
      <c r="D38" s="15"/>
      <c r="E38" s="15"/>
      <c r="F38" s="15"/>
      <c r="G38" s="15"/>
      <c r="H38" s="15"/>
      <c r="I38" s="15"/>
      <c r="J38" s="15"/>
      <c r="K38" s="15"/>
      <c r="L38" s="15"/>
      <c r="M38" s="15"/>
      <c r="N38" s="20"/>
    </row>
    <row r="39" spans="1:13" s="20" customFormat="1" ht="38.25" customHeight="1">
      <c r="A39" s="31"/>
      <c r="B39" s="15"/>
      <c r="C39" s="15"/>
      <c r="D39" s="15"/>
      <c r="E39" s="15"/>
      <c r="F39" s="15"/>
      <c r="G39" s="15"/>
      <c r="H39" s="15"/>
      <c r="I39" s="15"/>
      <c r="J39" s="15"/>
      <c r="K39" s="15"/>
      <c r="L39" s="15"/>
      <c r="M39" s="15"/>
    </row>
    <row r="40" spans="1:3" s="20" customFormat="1" ht="38.25" customHeight="1">
      <c r="A40" s="31"/>
      <c r="C40" s="22"/>
    </row>
    <row r="41" spans="1:13" s="20" customFormat="1" ht="38.25" customHeight="1">
      <c r="A41" s="31"/>
      <c r="C41" s="22"/>
      <c r="F41" s="23"/>
      <c r="G41" s="3"/>
      <c r="J41" s="24"/>
      <c r="K41" s="25"/>
      <c r="M41" s="26"/>
    </row>
    <row r="42" spans="1:13" s="20" customFormat="1" ht="38.25" customHeight="1">
      <c r="A42" s="31"/>
      <c r="C42" s="22"/>
      <c r="F42" s="27"/>
      <c r="G42" s="3"/>
      <c r="H42" s="28"/>
      <c r="J42" s="29"/>
      <c r="K42" s="30"/>
      <c r="M42" s="22"/>
    </row>
    <row r="43" spans="1:12" s="20" customFormat="1" ht="38.25" customHeight="1">
      <c r="A43" s="31"/>
      <c r="C43" s="22"/>
      <c r="F43" s="27"/>
      <c r="G43" s="27"/>
      <c r="H43" s="27"/>
      <c r="I43" s="27"/>
      <c r="J43" s="27"/>
      <c r="K43" s="27"/>
      <c r="L43" s="27"/>
    </row>
    <row r="44" spans="1:14" s="20" customFormat="1" ht="38.25" customHeight="1">
      <c r="A44" s="31"/>
      <c r="C44" s="22"/>
      <c r="F44" s="27"/>
      <c r="G44" s="27"/>
      <c r="H44" s="27"/>
      <c r="I44" s="27"/>
      <c r="J44" s="27"/>
      <c r="K44" s="27"/>
      <c r="L44" s="27"/>
      <c r="N44" s="15"/>
    </row>
    <row r="45" spans="1:13" ht="38.25" customHeight="1">
      <c r="A45" s="31"/>
      <c r="B45" s="20"/>
      <c r="C45" s="22"/>
      <c r="D45" s="20"/>
      <c r="E45" s="20"/>
      <c r="F45" s="20"/>
      <c r="G45" s="20"/>
      <c r="H45" s="20"/>
      <c r="I45" s="20"/>
      <c r="J45" s="20"/>
      <c r="K45" s="20"/>
      <c r="L45" s="20"/>
      <c r="M45" s="20"/>
    </row>
    <row r="46" spans="1:13" ht="38.25" customHeight="1">
      <c r="A46" s="31"/>
      <c r="B46" s="15"/>
      <c r="C46" s="15"/>
      <c r="D46" s="15"/>
      <c r="E46" s="15"/>
      <c r="F46" s="15"/>
      <c r="G46" s="15"/>
      <c r="H46" s="15"/>
      <c r="I46" s="15"/>
      <c r="J46" s="15"/>
      <c r="K46" s="15"/>
      <c r="L46" s="15"/>
      <c r="M46" s="15"/>
    </row>
    <row r="47" spans="1:13" ht="38.25" customHeight="1">
      <c r="A47" s="31"/>
      <c r="B47" s="15"/>
      <c r="C47" s="15"/>
      <c r="D47" s="15"/>
      <c r="E47" s="15"/>
      <c r="F47" s="15"/>
      <c r="G47" s="15"/>
      <c r="H47" s="15"/>
      <c r="I47" s="15"/>
      <c r="J47" s="15"/>
      <c r="K47" s="15"/>
      <c r="L47" s="15"/>
      <c r="M47" s="15"/>
    </row>
    <row r="48" spans="1:14" ht="38.25" customHeight="1">
      <c r="A48" s="31"/>
      <c r="B48" s="15"/>
      <c r="C48" s="15"/>
      <c r="D48" s="15"/>
      <c r="E48" s="15"/>
      <c r="F48" s="15"/>
      <c r="G48" s="15"/>
      <c r="H48" s="15"/>
      <c r="I48" s="15"/>
      <c r="J48" s="15"/>
      <c r="K48" s="15"/>
      <c r="L48" s="15"/>
      <c r="M48" s="15"/>
      <c r="N48" s="20"/>
    </row>
    <row r="49" spans="1:14" s="20" customFormat="1" ht="38.25" customHeight="1">
      <c r="A49" s="31"/>
      <c r="B49" s="15"/>
      <c r="C49" s="15"/>
      <c r="D49" s="15"/>
      <c r="E49" s="15"/>
      <c r="F49" s="15"/>
      <c r="G49" s="15"/>
      <c r="H49" s="15"/>
      <c r="I49" s="15"/>
      <c r="J49" s="15"/>
      <c r="K49" s="15"/>
      <c r="L49" s="15"/>
      <c r="M49" s="15"/>
      <c r="N49" s="15"/>
    </row>
    <row r="50" spans="1:13" ht="38.25" customHeight="1">
      <c r="A50" s="31"/>
      <c r="B50" s="20"/>
      <c r="C50" s="22"/>
      <c r="D50" s="20"/>
      <c r="E50" s="20"/>
      <c r="F50" s="20"/>
      <c r="G50" s="20"/>
      <c r="H50" s="20"/>
      <c r="I50" s="20"/>
      <c r="J50" s="20"/>
      <c r="K50" s="20"/>
      <c r="L50" s="20"/>
      <c r="M50" s="20"/>
    </row>
    <row r="51" spans="1:13" ht="38.25" customHeight="1">
      <c r="A51" s="31"/>
      <c r="B51" s="15"/>
      <c r="C51" s="15"/>
      <c r="D51" s="15"/>
      <c r="E51" s="15"/>
      <c r="F51" s="15"/>
      <c r="G51" s="15"/>
      <c r="H51" s="15"/>
      <c r="I51" s="15"/>
      <c r="J51" s="15"/>
      <c r="K51" s="15"/>
      <c r="L51" s="15"/>
      <c r="M51" s="15"/>
    </row>
    <row r="52" spans="1:13" ht="38.25" customHeight="1">
      <c r="A52" s="31"/>
      <c r="B52" s="15"/>
      <c r="C52" s="15"/>
      <c r="D52" s="15"/>
      <c r="E52" s="15"/>
      <c r="F52" s="15"/>
      <c r="G52" s="15"/>
      <c r="H52" s="15"/>
      <c r="I52" s="15"/>
      <c r="J52" s="15"/>
      <c r="K52" s="15"/>
      <c r="L52" s="15"/>
      <c r="M52" s="15"/>
    </row>
    <row r="53" spans="1:13" ht="38.25" customHeight="1">
      <c r="A53" s="31"/>
      <c r="B53" s="15"/>
      <c r="C53" s="15"/>
      <c r="D53" s="15"/>
      <c r="E53" s="15"/>
      <c r="F53" s="15"/>
      <c r="G53" s="15"/>
      <c r="H53" s="15"/>
      <c r="I53" s="15"/>
      <c r="J53" s="15"/>
      <c r="K53" s="15"/>
      <c r="L53" s="15"/>
      <c r="M53" s="15"/>
    </row>
    <row r="54" spans="1:13" ht="38.25" customHeight="1">
      <c r="A54" s="31"/>
      <c r="B54" s="15"/>
      <c r="C54" s="15"/>
      <c r="D54" s="15"/>
      <c r="E54" s="15"/>
      <c r="F54" s="15"/>
      <c r="G54" s="15"/>
      <c r="H54" s="15"/>
      <c r="I54" s="15"/>
      <c r="J54" s="15"/>
      <c r="K54" s="15"/>
      <c r="L54" s="15"/>
      <c r="M54" s="15"/>
    </row>
    <row r="55" spans="1:13" ht="38.25" customHeight="1">
      <c r="A55" s="31"/>
      <c r="B55" s="15"/>
      <c r="C55" s="15"/>
      <c r="D55" s="15"/>
      <c r="E55" s="15"/>
      <c r="F55" s="15"/>
      <c r="G55" s="15"/>
      <c r="H55" s="15"/>
      <c r="I55" s="15"/>
      <c r="J55" s="15"/>
      <c r="K55" s="15"/>
      <c r="L55" s="15"/>
      <c r="M55" s="15"/>
    </row>
    <row r="56" spans="1:13" ht="38.25" customHeight="1">
      <c r="A56" s="31"/>
      <c r="B56" s="15"/>
      <c r="C56" s="15"/>
      <c r="D56" s="15"/>
      <c r="E56" s="15"/>
      <c r="F56" s="15"/>
      <c r="G56" s="15"/>
      <c r="H56" s="15"/>
      <c r="I56" s="15"/>
      <c r="J56" s="15"/>
      <c r="K56" s="15"/>
      <c r="L56" s="15"/>
      <c r="M56" s="15"/>
    </row>
    <row r="57" spans="1:13" ht="38.25" customHeight="1">
      <c r="A57" s="31"/>
      <c r="B57" s="15"/>
      <c r="C57" s="15"/>
      <c r="D57" s="15"/>
      <c r="E57" s="15"/>
      <c r="F57" s="15"/>
      <c r="G57" s="15"/>
      <c r="H57" s="15"/>
      <c r="I57" s="15"/>
      <c r="J57" s="15"/>
      <c r="K57" s="15"/>
      <c r="L57" s="15"/>
      <c r="M57" s="15"/>
    </row>
    <row r="58" spans="1:13" ht="38.25" customHeight="1">
      <c r="A58" s="31"/>
      <c r="B58" s="15"/>
      <c r="C58" s="15"/>
      <c r="D58" s="15"/>
      <c r="E58" s="15"/>
      <c r="F58" s="15"/>
      <c r="G58" s="15"/>
      <c r="H58" s="15"/>
      <c r="I58" s="15"/>
      <c r="J58" s="15"/>
      <c r="K58" s="15"/>
      <c r="L58" s="15"/>
      <c r="M58" s="15"/>
    </row>
    <row r="59" spans="1:13" ht="38.25" customHeight="1">
      <c r="A59" s="31"/>
      <c r="B59" s="15"/>
      <c r="C59" s="15"/>
      <c r="D59" s="15"/>
      <c r="E59" s="15"/>
      <c r="F59" s="15"/>
      <c r="G59" s="15"/>
      <c r="H59" s="15"/>
      <c r="I59" s="15"/>
      <c r="J59" s="15"/>
      <c r="K59" s="15"/>
      <c r="L59" s="15"/>
      <c r="M59" s="15"/>
    </row>
    <row r="60" spans="1:13" ht="38.25" customHeight="1">
      <c r="A60" s="31"/>
      <c r="B60" s="15"/>
      <c r="C60" s="15"/>
      <c r="D60" s="15"/>
      <c r="E60" s="15"/>
      <c r="F60" s="15"/>
      <c r="G60" s="15"/>
      <c r="H60" s="15"/>
      <c r="I60" s="15"/>
      <c r="J60" s="15"/>
      <c r="K60" s="15"/>
      <c r="L60" s="15"/>
      <c r="M60" s="15"/>
    </row>
    <row r="61" spans="1:13" ht="38.25" customHeight="1">
      <c r="A61" s="31"/>
      <c r="B61" s="15"/>
      <c r="C61" s="15"/>
      <c r="D61" s="15"/>
      <c r="E61" s="15"/>
      <c r="F61" s="15"/>
      <c r="G61" s="15"/>
      <c r="H61" s="15"/>
      <c r="I61" s="15"/>
      <c r="J61" s="15"/>
      <c r="K61" s="15"/>
      <c r="L61" s="15"/>
      <c r="M61" s="15"/>
    </row>
    <row r="62" spans="1:13" ht="38.25" customHeight="1">
      <c r="A62" s="31"/>
      <c r="B62" s="15"/>
      <c r="C62" s="15"/>
      <c r="D62" s="15"/>
      <c r="E62" s="15"/>
      <c r="F62" s="15"/>
      <c r="G62" s="15"/>
      <c r="H62" s="15"/>
      <c r="I62" s="15"/>
      <c r="J62" s="15"/>
      <c r="K62" s="15"/>
      <c r="L62" s="15"/>
      <c r="M62" s="15"/>
    </row>
    <row r="63" spans="1:13" ht="38.25" customHeight="1">
      <c r="A63" s="31"/>
      <c r="B63" s="15"/>
      <c r="C63" s="15"/>
      <c r="D63" s="15"/>
      <c r="E63" s="15"/>
      <c r="F63" s="15"/>
      <c r="G63" s="15"/>
      <c r="H63" s="15"/>
      <c r="I63" s="15"/>
      <c r="J63" s="15"/>
      <c r="K63" s="15"/>
      <c r="L63" s="15"/>
      <c r="M63" s="15"/>
    </row>
    <row r="64" spans="1:13" ht="38.25" customHeight="1">
      <c r="A64" s="31"/>
      <c r="B64" s="15"/>
      <c r="C64" s="15"/>
      <c r="D64" s="15"/>
      <c r="E64" s="15"/>
      <c r="F64" s="15"/>
      <c r="G64" s="15"/>
      <c r="H64" s="15"/>
      <c r="I64" s="15"/>
      <c r="J64" s="15"/>
      <c r="K64" s="15"/>
      <c r="L64" s="15"/>
      <c r="M64" s="15"/>
    </row>
    <row r="65" spans="1:13" ht="38.25" customHeight="1">
      <c r="A65" s="31"/>
      <c r="B65" s="15"/>
      <c r="C65" s="15"/>
      <c r="D65" s="15"/>
      <c r="E65" s="15"/>
      <c r="F65" s="15"/>
      <c r="G65" s="15"/>
      <c r="H65" s="15"/>
      <c r="I65" s="15"/>
      <c r="J65" s="15"/>
      <c r="K65" s="15"/>
      <c r="L65" s="15"/>
      <c r="M65" s="15"/>
    </row>
    <row r="66" spans="1:13" ht="38.25" customHeight="1">
      <c r="A66" s="31"/>
      <c r="B66" s="15"/>
      <c r="C66" s="15"/>
      <c r="D66" s="15"/>
      <c r="E66" s="15"/>
      <c r="F66" s="15"/>
      <c r="G66" s="15"/>
      <c r="H66" s="15"/>
      <c r="I66" s="15"/>
      <c r="J66" s="15"/>
      <c r="K66" s="15"/>
      <c r="L66" s="15"/>
      <c r="M66" s="15"/>
    </row>
    <row r="67" spans="1:13" ht="38.25" customHeight="1">
      <c r="A67" s="31"/>
      <c r="B67" s="15"/>
      <c r="C67" s="15"/>
      <c r="D67" s="15"/>
      <c r="E67" s="15"/>
      <c r="F67" s="15"/>
      <c r="G67" s="15"/>
      <c r="H67" s="15"/>
      <c r="I67" s="15"/>
      <c r="J67" s="15"/>
      <c r="K67" s="15"/>
      <c r="L67" s="15"/>
      <c r="M67" s="15"/>
    </row>
    <row r="68" spans="1:13" ht="38.25" customHeight="1">
      <c r="A68" s="31"/>
      <c r="B68" s="15"/>
      <c r="C68" s="15"/>
      <c r="D68" s="15"/>
      <c r="E68" s="15"/>
      <c r="F68" s="15"/>
      <c r="G68" s="15"/>
      <c r="H68" s="15"/>
      <c r="I68" s="15"/>
      <c r="J68" s="15"/>
      <c r="K68" s="15"/>
      <c r="L68" s="15"/>
      <c r="M68" s="15"/>
    </row>
    <row r="69" spans="1:13" ht="38.25" customHeight="1">
      <c r="A69" s="31"/>
      <c r="B69" s="15"/>
      <c r="C69" s="15"/>
      <c r="D69" s="15"/>
      <c r="E69" s="15"/>
      <c r="F69" s="15"/>
      <c r="G69" s="15"/>
      <c r="H69" s="15"/>
      <c r="I69" s="15"/>
      <c r="J69" s="15"/>
      <c r="K69" s="15"/>
      <c r="L69" s="15"/>
      <c r="M69" s="15"/>
    </row>
    <row r="70" spans="1:13" ht="38.25" customHeight="1">
      <c r="A70" s="31"/>
      <c r="B70" s="15"/>
      <c r="C70" s="15"/>
      <c r="D70" s="15"/>
      <c r="E70" s="15"/>
      <c r="F70" s="15"/>
      <c r="G70" s="15"/>
      <c r="H70" s="15"/>
      <c r="I70" s="15"/>
      <c r="J70" s="15"/>
      <c r="K70" s="15"/>
      <c r="L70" s="15"/>
      <c r="M70" s="15"/>
    </row>
    <row r="71" spans="1:13" ht="38.25" customHeight="1">
      <c r="A71" s="31"/>
      <c r="B71" s="15"/>
      <c r="C71" s="15"/>
      <c r="D71" s="15"/>
      <c r="E71" s="15"/>
      <c r="F71" s="15"/>
      <c r="G71" s="15"/>
      <c r="H71" s="15"/>
      <c r="I71" s="15"/>
      <c r="J71" s="15"/>
      <c r="K71" s="15"/>
      <c r="L71" s="15"/>
      <c r="M71" s="15"/>
    </row>
    <row r="72" spans="1:13" ht="38.25" customHeight="1">
      <c r="A72" s="31"/>
      <c r="B72" s="15"/>
      <c r="C72" s="15"/>
      <c r="D72" s="15"/>
      <c r="E72" s="15"/>
      <c r="F72" s="15"/>
      <c r="G72" s="15"/>
      <c r="H72" s="15"/>
      <c r="I72" s="15"/>
      <c r="J72" s="15"/>
      <c r="K72" s="15"/>
      <c r="L72" s="15"/>
      <c r="M72" s="15"/>
    </row>
    <row r="73" spans="1:13" ht="38.25" customHeight="1">
      <c r="A73" s="31"/>
      <c r="B73" s="15"/>
      <c r="C73" s="15"/>
      <c r="D73" s="15"/>
      <c r="E73" s="15"/>
      <c r="F73" s="15"/>
      <c r="G73" s="15"/>
      <c r="H73" s="15"/>
      <c r="I73" s="15"/>
      <c r="J73" s="15"/>
      <c r="K73" s="15"/>
      <c r="L73" s="15"/>
      <c r="M73" s="15"/>
    </row>
    <row r="74" spans="1:13" ht="38.25" customHeight="1">
      <c r="A74" s="31"/>
      <c r="B74" s="15"/>
      <c r="C74" s="15"/>
      <c r="D74" s="15"/>
      <c r="E74" s="15"/>
      <c r="F74" s="15"/>
      <c r="G74" s="15"/>
      <c r="H74" s="15"/>
      <c r="I74" s="15"/>
      <c r="J74" s="15"/>
      <c r="K74" s="15"/>
      <c r="L74" s="15"/>
      <c r="M74" s="15"/>
    </row>
    <row r="75" spans="1:13" ht="38.25" customHeight="1">
      <c r="A75" s="31"/>
      <c r="B75" s="15"/>
      <c r="C75" s="15"/>
      <c r="D75" s="15"/>
      <c r="E75" s="15"/>
      <c r="F75" s="15"/>
      <c r="G75" s="15"/>
      <c r="H75" s="15"/>
      <c r="I75" s="15"/>
      <c r="J75" s="15"/>
      <c r="K75" s="15"/>
      <c r="L75" s="15"/>
      <c r="M75" s="15"/>
    </row>
    <row r="76" spans="1:13" ht="38.25" customHeight="1">
      <c r="A76" s="31"/>
      <c r="B76" s="15"/>
      <c r="C76" s="15"/>
      <c r="D76" s="15"/>
      <c r="E76" s="15"/>
      <c r="F76" s="15"/>
      <c r="G76" s="15"/>
      <c r="H76" s="15"/>
      <c r="I76" s="15"/>
      <c r="J76" s="15"/>
      <c r="K76" s="15"/>
      <c r="L76" s="15"/>
      <c r="M76" s="15"/>
    </row>
    <row r="77" spans="1:13" ht="38.25" customHeight="1">
      <c r="A77" s="31"/>
      <c r="B77" s="15"/>
      <c r="C77" s="15"/>
      <c r="D77" s="15"/>
      <c r="E77" s="15"/>
      <c r="F77" s="15"/>
      <c r="G77" s="15"/>
      <c r="H77" s="15"/>
      <c r="I77" s="15"/>
      <c r="J77" s="15"/>
      <c r="K77" s="15"/>
      <c r="L77" s="15"/>
      <c r="M77" s="15"/>
    </row>
    <row r="78" spans="1:13" ht="38.25" customHeight="1">
      <c r="A78" s="31"/>
      <c r="B78" s="15"/>
      <c r="C78" s="15"/>
      <c r="D78" s="15"/>
      <c r="E78" s="15"/>
      <c r="F78" s="15"/>
      <c r="G78" s="15"/>
      <c r="H78" s="15"/>
      <c r="I78" s="15"/>
      <c r="J78" s="15"/>
      <c r="K78" s="15"/>
      <c r="L78" s="15"/>
      <c r="M78" s="15"/>
    </row>
    <row r="79" spans="1:13" ht="38.25" customHeight="1">
      <c r="A79" s="31"/>
      <c r="B79" s="15"/>
      <c r="C79" s="15"/>
      <c r="D79" s="15"/>
      <c r="E79" s="15"/>
      <c r="F79" s="15"/>
      <c r="G79" s="15"/>
      <c r="H79" s="15"/>
      <c r="I79" s="15"/>
      <c r="J79" s="15"/>
      <c r="K79" s="15"/>
      <c r="L79" s="15"/>
      <c r="M79" s="15"/>
    </row>
    <row r="80" spans="1:13" ht="38.25" customHeight="1">
      <c r="A80" s="31"/>
      <c r="B80" s="15"/>
      <c r="C80" s="15"/>
      <c r="D80" s="15"/>
      <c r="E80" s="15"/>
      <c r="F80" s="15"/>
      <c r="G80" s="15"/>
      <c r="H80" s="15"/>
      <c r="I80" s="15"/>
      <c r="J80" s="15"/>
      <c r="K80" s="15"/>
      <c r="L80" s="15"/>
      <c r="M80" s="15"/>
    </row>
    <row r="81" spans="1:13" ht="38.25" customHeight="1">
      <c r="A81" s="31"/>
      <c r="B81" s="15"/>
      <c r="C81" s="15"/>
      <c r="D81" s="15"/>
      <c r="E81" s="15"/>
      <c r="F81" s="15"/>
      <c r="G81" s="15"/>
      <c r="H81" s="15"/>
      <c r="I81" s="15"/>
      <c r="J81" s="15"/>
      <c r="K81" s="15"/>
      <c r="L81" s="15"/>
      <c r="M81" s="15"/>
    </row>
    <row r="82" spans="1:13" ht="38.25" customHeight="1">
      <c r="A82" s="31"/>
      <c r="B82" s="15"/>
      <c r="C82" s="15"/>
      <c r="D82" s="15"/>
      <c r="E82" s="15"/>
      <c r="F82" s="15"/>
      <c r="G82" s="15"/>
      <c r="H82" s="15"/>
      <c r="I82" s="15"/>
      <c r="J82" s="15"/>
      <c r="K82" s="15"/>
      <c r="L82" s="15"/>
      <c r="M82" s="15"/>
    </row>
    <row r="83" spans="1:13" ht="38.25" customHeight="1">
      <c r="A83" s="31"/>
      <c r="B83" s="15"/>
      <c r="C83" s="15"/>
      <c r="D83" s="15"/>
      <c r="E83" s="15"/>
      <c r="F83" s="15"/>
      <c r="G83" s="15"/>
      <c r="H83" s="15"/>
      <c r="I83" s="15"/>
      <c r="J83" s="15"/>
      <c r="K83" s="15"/>
      <c r="L83" s="15"/>
      <c r="M83" s="15"/>
    </row>
    <row r="84" spans="1:13" ht="38.25" customHeight="1">
      <c r="A84" s="31"/>
      <c r="B84" s="15"/>
      <c r="C84" s="15"/>
      <c r="D84" s="15"/>
      <c r="E84" s="15"/>
      <c r="F84" s="15"/>
      <c r="G84" s="15"/>
      <c r="H84" s="15"/>
      <c r="I84" s="15"/>
      <c r="J84" s="15"/>
      <c r="K84" s="15"/>
      <c r="L84" s="15"/>
      <c r="M84" s="15"/>
    </row>
    <row r="85" spans="1:13" ht="38.25" customHeight="1">
      <c r="A85" s="31"/>
      <c r="B85" s="15"/>
      <c r="C85" s="15"/>
      <c r="D85" s="15"/>
      <c r="E85" s="15"/>
      <c r="F85" s="15"/>
      <c r="G85" s="15"/>
      <c r="H85" s="15"/>
      <c r="I85" s="15"/>
      <c r="J85" s="15"/>
      <c r="K85" s="15"/>
      <c r="L85" s="15"/>
      <c r="M85" s="15"/>
    </row>
    <row r="86" spans="1:13" ht="38.25" customHeight="1">
      <c r="A86" s="31"/>
      <c r="B86" s="15"/>
      <c r="C86" s="15"/>
      <c r="D86" s="15"/>
      <c r="E86" s="15"/>
      <c r="F86" s="15"/>
      <c r="G86" s="15"/>
      <c r="H86" s="15"/>
      <c r="I86" s="15"/>
      <c r="J86" s="15"/>
      <c r="K86" s="15"/>
      <c r="L86" s="15"/>
      <c r="M86" s="15"/>
    </row>
    <row r="87" spans="1:13" ht="38.25" customHeight="1">
      <c r="A87" s="31"/>
      <c r="B87" s="15"/>
      <c r="C87" s="15"/>
      <c r="D87" s="15"/>
      <c r="E87" s="15"/>
      <c r="F87" s="15"/>
      <c r="G87" s="15"/>
      <c r="H87" s="15"/>
      <c r="I87" s="15"/>
      <c r="J87" s="15"/>
      <c r="K87" s="15"/>
      <c r="L87" s="15"/>
      <c r="M87" s="15"/>
    </row>
    <row r="88" spans="1:13" ht="38.25" customHeight="1">
      <c r="A88" s="31"/>
      <c r="B88" s="15"/>
      <c r="C88" s="15"/>
      <c r="D88" s="15"/>
      <c r="E88" s="15"/>
      <c r="F88" s="15"/>
      <c r="G88" s="15"/>
      <c r="H88" s="15"/>
      <c r="I88" s="15"/>
      <c r="J88" s="15"/>
      <c r="K88" s="15"/>
      <c r="L88" s="15"/>
      <c r="M88" s="15"/>
    </row>
    <row r="89" spans="1:13" ht="38.25" customHeight="1">
      <c r="A89" s="31"/>
      <c r="B89" s="15"/>
      <c r="C89" s="15"/>
      <c r="D89" s="15"/>
      <c r="E89" s="15"/>
      <c r="F89" s="15"/>
      <c r="G89" s="15"/>
      <c r="H89" s="15"/>
      <c r="I89" s="15"/>
      <c r="J89" s="15"/>
      <c r="K89" s="15"/>
      <c r="L89" s="15"/>
      <c r="M89" s="15"/>
    </row>
    <row r="90" spans="1:13" ht="38.25" customHeight="1">
      <c r="A90" s="31"/>
      <c r="B90" s="15"/>
      <c r="C90" s="15"/>
      <c r="D90" s="15"/>
      <c r="E90" s="15"/>
      <c r="F90" s="15"/>
      <c r="G90" s="15"/>
      <c r="H90" s="15"/>
      <c r="I90" s="15"/>
      <c r="J90" s="15"/>
      <c r="K90" s="15"/>
      <c r="L90" s="15"/>
      <c r="M90" s="15"/>
    </row>
    <row r="91" spans="1:13" ht="38.25" customHeight="1">
      <c r="A91" s="31"/>
      <c r="B91" s="15"/>
      <c r="C91" s="15"/>
      <c r="D91" s="15"/>
      <c r="E91" s="15"/>
      <c r="F91" s="15"/>
      <c r="G91" s="15"/>
      <c r="H91" s="15"/>
      <c r="I91" s="15"/>
      <c r="J91" s="15"/>
      <c r="K91" s="15"/>
      <c r="L91" s="15"/>
      <c r="M91" s="15"/>
    </row>
    <row r="92" spans="1:13" ht="38.25" customHeight="1">
      <c r="A92" s="31"/>
      <c r="B92" s="15"/>
      <c r="C92" s="15"/>
      <c r="D92" s="15"/>
      <c r="E92" s="15"/>
      <c r="F92" s="15"/>
      <c r="G92" s="15"/>
      <c r="H92" s="15"/>
      <c r="I92" s="15"/>
      <c r="J92" s="15"/>
      <c r="K92" s="15"/>
      <c r="L92" s="15"/>
      <c r="M92" s="15"/>
    </row>
    <row r="93" spans="1:13" ht="38.25" customHeight="1">
      <c r="A93" s="31"/>
      <c r="B93" s="15"/>
      <c r="C93" s="15"/>
      <c r="D93" s="15"/>
      <c r="E93" s="15"/>
      <c r="F93" s="15"/>
      <c r="G93" s="15"/>
      <c r="H93" s="15"/>
      <c r="I93" s="15"/>
      <c r="J93" s="15"/>
      <c r="K93" s="15"/>
      <c r="L93" s="15"/>
      <c r="M93" s="15"/>
    </row>
    <row r="94" spans="1:13" ht="38.25" customHeight="1">
      <c r="A94" s="31"/>
      <c r="B94" s="15"/>
      <c r="C94" s="15"/>
      <c r="D94" s="15"/>
      <c r="E94" s="15"/>
      <c r="F94" s="15"/>
      <c r="G94" s="15"/>
      <c r="H94" s="15"/>
      <c r="I94" s="15"/>
      <c r="J94" s="15"/>
      <c r="K94" s="15"/>
      <c r="L94" s="15"/>
      <c r="M94" s="15"/>
    </row>
    <row r="95" spans="1:13" ht="38.25" customHeight="1">
      <c r="A95" s="31"/>
      <c r="B95" s="15"/>
      <c r="C95" s="15"/>
      <c r="D95" s="15"/>
      <c r="E95" s="15"/>
      <c r="F95" s="15"/>
      <c r="G95" s="15"/>
      <c r="H95" s="15"/>
      <c r="I95" s="15"/>
      <c r="J95" s="15"/>
      <c r="K95" s="15"/>
      <c r="L95" s="15"/>
      <c r="M95" s="15"/>
    </row>
    <row r="96" spans="1:13" ht="38.25" customHeight="1">
      <c r="A96" s="31"/>
      <c r="B96" s="15"/>
      <c r="C96" s="15"/>
      <c r="D96" s="15"/>
      <c r="E96" s="15"/>
      <c r="F96" s="15"/>
      <c r="G96" s="15"/>
      <c r="H96" s="15"/>
      <c r="I96" s="15"/>
      <c r="J96" s="15"/>
      <c r="K96" s="15"/>
      <c r="L96" s="15"/>
      <c r="M96" s="15"/>
    </row>
    <row r="97" spans="1:13" ht="38.25" customHeight="1">
      <c r="A97" s="31"/>
      <c r="B97" s="15"/>
      <c r="C97" s="15"/>
      <c r="D97" s="15"/>
      <c r="E97" s="15"/>
      <c r="F97" s="15"/>
      <c r="G97" s="15"/>
      <c r="H97" s="15"/>
      <c r="I97" s="15"/>
      <c r="J97" s="15"/>
      <c r="K97" s="15"/>
      <c r="L97" s="15"/>
      <c r="M97" s="15"/>
    </row>
    <row r="98" spans="1:13" ht="38.25" customHeight="1">
      <c r="A98" s="31"/>
      <c r="B98" s="15"/>
      <c r="C98" s="15"/>
      <c r="D98" s="15"/>
      <c r="E98" s="15"/>
      <c r="F98" s="15"/>
      <c r="G98" s="15"/>
      <c r="H98" s="15"/>
      <c r="I98" s="15"/>
      <c r="J98" s="15"/>
      <c r="K98" s="15"/>
      <c r="L98" s="15"/>
      <c r="M98" s="15"/>
    </row>
    <row r="99" spans="1:13" ht="38.25" customHeight="1">
      <c r="A99" s="31"/>
      <c r="B99" s="15"/>
      <c r="C99" s="15"/>
      <c r="D99" s="15"/>
      <c r="E99" s="15"/>
      <c r="F99" s="15"/>
      <c r="G99" s="15"/>
      <c r="H99" s="15"/>
      <c r="I99" s="15"/>
      <c r="J99" s="15"/>
      <c r="K99" s="15"/>
      <c r="L99" s="15"/>
      <c r="M99" s="15"/>
    </row>
    <row r="100" spans="1:13" ht="38.25" customHeight="1">
      <c r="A100" s="31"/>
      <c r="B100" s="15"/>
      <c r="C100" s="15"/>
      <c r="D100" s="15"/>
      <c r="E100" s="15"/>
      <c r="F100" s="15"/>
      <c r="G100" s="15"/>
      <c r="H100" s="15"/>
      <c r="I100" s="15"/>
      <c r="J100" s="15"/>
      <c r="K100" s="15"/>
      <c r="L100" s="15"/>
      <c r="M100" s="15"/>
    </row>
    <row r="101" spans="1:13" ht="38.25" customHeight="1">
      <c r="A101" s="31"/>
      <c r="B101" s="15"/>
      <c r="C101" s="15"/>
      <c r="D101" s="15"/>
      <c r="E101" s="15"/>
      <c r="F101" s="15"/>
      <c r="G101" s="15"/>
      <c r="H101" s="15"/>
      <c r="I101" s="15"/>
      <c r="J101" s="15"/>
      <c r="K101" s="15"/>
      <c r="L101" s="15"/>
      <c r="M101" s="15"/>
    </row>
    <row r="102" spans="1:13" ht="38.25" customHeight="1">
      <c r="A102" s="31"/>
      <c r="B102" s="15"/>
      <c r="C102" s="15"/>
      <c r="D102" s="15"/>
      <c r="E102" s="15"/>
      <c r="F102" s="15"/>
      <c r="G102" s="15"/>
      <c r="H102" s="15"/>
      <c r="I102" s="15"/>
      <c r="J102" s="15"/>
      <c r="K102" s="15"/>
      <c r="L102" s="15"/>
      <c r="M102" s="15"/>
    </row>
    <row r="103" spans="1:13" ht="38.25" customHeight="1">
      <c r="A103" s="31"/>
      <c r="B103" s="15"/>
      <c r="C103" s="15"/>
      <c r="D103" s="15"/>
      <c r="E103" s="15"/>
      <c r="F103" s="15"/>
      <c r="G103" s="15"/>
      <c r="H103" s="15"/>
      <c r="I103" s="15"/>
      <c r="J103" s="15"/>
      <c r="K103" s="15"/>
      <c r="L103" s="15"/>
      <c r="M103" s="15"/>
    </row>
    <row r="104" spans="1:13" ht="38.25" customHeight="1">
      <c r="A104" s="31"/>
      <c r="B104" s="15"/>
      <c r="C104" s="15"/>
      <c r="D104" s="15"/>
      <c r="E104" s="15"/>
      <c r="F104" s="15"/>
      <c r="G104" s="15"/>
      <c r="H104" s="15"/>
      <c r="I104" s="15"/>
      <c r="J104" s="15"/>
      <c r="K104" s="15"/>
      <c r="L104" s="15"/>
      <c r="M104" s="15"/>
    </row>
    <row r="105" spans="1:13" ht="24.75" customHeight="1">
      <c r="A105" s="31"/>
      <c r="B105" s="15"/>
      <c r="C105" s="15"/>
      <c r="D105" s="15"/>
      <c r="E105" s="15"/>
      <c r="F105" s="15"/>
      <c r="G105" s="15"/>
      <c r="H105" s="15"/>
      <c r="I105" s="15"/>
      <c r="J105" s="15"/>
      <c r="K105" s="15"/>
      <c r="L105" s="15"/>
      <c r="M105" s="15"/>
    </row>
    <row r="106" spans="1:13" ht="24.75" customHeight="1">
      <c r="A106" s="31"/>
      <c r="B106" s="15"/>
      <c r="C106" s="15"/>
      <c r="D106" s="15"/>
      <c r="E106" s="15"/>
      <c r="F106" s="15"/>
      <c r="G106" s="15"/>
      <c r="H106" s="15"/>
      <c r="I106" s="15"/>
      <c r="J106" s="15"/>
      <c r="K106" s="15"/>
      <c r="L106" s="15"/>
      <c r="M106" s="15"/>
    </row>
    <row r="107" spans="1:13" ht="24.75" customHeight="1">
      <c r="A107" s="31"/>
      <c r="B107" s="15"/>
      <c r="C107" s="15"/>
      <c r="D107" s="15"/>
      <c r="E107" s="15"/>
      <c r="F107" s="15"/>
      <c r="G107" s="15"/>
      <c r="H107" s="15"/>
      <c r="I107" s="15"/>
      <c r="J107" s="15"/>
      <c r="K107" s="15"/>
      <c r="L107" s="15"/>
      <c r="M107" s="15"/>
    </row>
    <row r="108" spans="1:13" ht="24.75" customHeight="1">
      <c r="A108" s="31"/>
      <c r="B108" s="15"/>
      <c r="C108" s="15"/>
      <c r="D108" s="15"/>
      <c r="E108" s="15"/>
      <c r="F108" s="15"/>
      <c r="G108" s="15"/>
      <c r="H108" s="15"/>
      <c r="I108" s="15"/>
      <c r="J108" s="15"/>
      <c r="K108" s="15"/>
      <c r="L108" s="15"/>
      <c r="M108" s="15"/>
    </row>
    <row r="109" spans="1:13" ht="24.75" customHeight="1">
      <c r="A109" s="31"/>
      <c r="B109" s="15"/>
      <c r="C109" s="15"/>
      <c r="D109" s="15"/>
      <c r="E109" s="15"/>
      <c r="F109" s="15"/>
      <c r="G109" s="15"/>
      <c r="H109" s="15"/>
      <c r="I109" s="15"/>
      <c r="J109" s="15"/>
      <c r="K109" s="15"/>
      <c r="L109" s="15"/>
      <c r="M109" s="15"/>
    </row>
    <row r="110" spans="1:13" ht="12.75">
      <c r="A110" s="31"/>
      <c r="B110" s="15"/>
      <c r="C110" s="15"/>
      <c r="D110" s="15"/>
      <c r="E110" s="15"/>
      <c r="F110" s="15"/>
      <c r="G110" s="15"/>
      <c r="H110" s="15"/>
      <c r="I110" s="15"/>
      <c r="J110" s="15"/>
      <c r="K110" s="15"/>
      <c r="L110" s="15"/>
      <c r="M110" s="15"/>
    </row>
    <row r="111" spans="1:13" ht="12.75">
      <c r="A111" s="31"/>
      <c r="B111" s="15"/>
      <c r="C111" s="15"/>
      <c r="D111" s="15"/>
      <c r="E111" s="15"/>
      <c r="F111" s="15"/>
      <c r="G111" s="15"/>
      <c r="H111" s="15"/>
      <c r="I111" s="15"/>
      <c r="J111" s="15"/>
      <c r="K111" s="15"/>
      <c r="L111" s="15"/>
      <c r="M111" s="15"/>
    </row>
    <row r="112" spans="1:13" ht="12.75">
      <c r="A112" s="31"/>
      <c r="B112" s="15"/>
      <c r="C112" s="15"/>
      <c r="D112" s="15"/>
      <c r="E112" s="15"/>
      <c r="F112" s="15"/>
      <c r="G112" s="15"/>
      <c r="H112" s="15"/>
      <c r="I112" s="15"/>
      <c r="J112" s="15"/>
      <c r="K112" s="15"/>
      <c r="L112" s="15"/>
      <c r="M112" s="15"/>
    </row>
    <row r="113" spans="1:13" ht="12.75">
      <c r="A113" s="31"/>
      <c r="B113" s="15"/>
      <c r="C113" s="15"/>
      <c r="D113" s="15"/>
      <c r="E113" s="15"/>
      <c r="F113" s="15"/>
      <c r="G113" s="15"/>
      <c r="H113" s="15"/>
      <c r="I113" s="15"/>
      <c r="J113" s="15"/>
      <c r="K113" s="15"/>
      <c r="L113" s="15"/>
      <c r="M113" s="15"/>
    </row>
    <row r="114" spans="1:13" ht="12.75">
      <c r="A114" s="31"/>
      <c r="B114" s="15"/>
      <c r="C114" s="15"/>
      <c r="D114" s="15"/>
      <c r="E114" s="15"/>
      <c r="F114" s="15"/>
      <c r="G114" s="15"/>
      <c r="H114" s="15"/>
      <c r="I114" s="15"/>
      <c r="J114" s="15"/>
      <c r="K114" s="15"/>
      <c r="L114" s="15"/>
      <c r="M114" s="15"/>
    </row>
    <row r="115" spans="1:13" ht="12.75">
      <c r="A115" s="31"/>
      <c r="B115" s="15"/>
      <c r="C115" s="15"/>
      <c r="D115" s="15"/>
      <c r="E115" s="15"/>
      <c r="F115" s="15"/>
      <c r="G115" s="15"/>
      <c r="H115" s="15"/>
      <c r="I115" s="15"/>
      <c r="J115" s="15"/>
      <c r="K115" s="15"/>
      <c r="L115" s="15"/>
      <c r="M115" s="15"/>
    </row>
    <row r="116" spans="1:13" ht="12.75">
      <c r="A116" s="31"/>
      <c r="B116" s="15"/>
      <c r="C116" s="15"/>
      <c r="D116" s="15"/>
      <c r="E116" s="15"/>
      <c r="F116" s="15"/>
      <c r="G116" s="15"/>
      <c r="H116" s="15"/>
      <c r="I116" s="15"/>
      <c r="J116" s="15"/>
      <c r="K116" s="15"/>
      <c r="L116" s="15"/>
      <c r="M116" s="15"/>
    </row>
    <row r="117" spans="1:13" ht="12.75">
      <c r="A117" s="31"/>
      <c r="B117" s="15"/>
      <c r="C117" s="15"/>
      <c r="D117" s="15"/>
      <c r="E117" s="15"/>
      <c r="F117" s="15"/>
      <c r="G117" s="15"/>
      <c r="H117" s="15"/>
      <c r="I117" s="15"/>
      <c r="J117" s="15"/>
      <c r="K117" s="15"/>
      <c r="L117" s="15"/>
      <c r="M117" s="15"/>
    </row>
    <row r="118" spans="1:13" ht="12.75">
      <c r="A118" s="31"/>
      <c r="B118" s="15"/>
      <c r="C118" s="15"/>
      <c r="D118" s="15"/>
      <c r="E118" s="15"/>
      <c r="F118" s="15"/>
      <c r="G118" s="15"/>
      <c r="H118" s="15"/>
      <c r="I118" s="15"/>
      <c r="J118" s="15"/>
      <c r="K118" s="15"/>
      <c r="L118" s="15"/>
      <c r="M118" s="15"/>
    </row>
    <row r="119" spans="1:13" ht="12.75">
      <c r="A119" s="31"/>
      <c r="B119" s="15"/>
      <c r="C119" s="15"/>
      <c r="D119" s="15"/>
      <c r="E119" s="15"/>
      <c r="F119" s="15"/>
      <c r="G119" s="15"/>
      <c r="H119" s="15"/>
      <c r="I119" s="15"/>
      <c r="J119" s="15"/>
      <c r="K119" s="15"/>
      <c r="L119" s="15"/>
      <c r="M119" s="15"/>
    </row>
    <row r="120" spans="1:13" ht="12.75">
      <c r="A120" s="31"/>
      <c r="B120" s="15"/>
      <c r="C120" s="15"/>
      <c r="D120" s="15"/>
      <c r="E120" s="15"/>
      <c r="F120" s="15"/>
      <c r="G120" s="15"/>
      <c r="H120" s="15"/>
      <c r="I120" s="15"/>
      <c r="J120" s="15"/>
      <c r="K120" s="15"/>
      <c r="L120" s="15"/>
      <c r="M120" s="15"/>
    </row>
    <row r="121" spans="1:13" ht="12.75">
      <c r="A121" s="31"/>
      <c r="B121" s="15"/>
      <c r="C121" s="15"/>
      <c r="D121" s="15"/>
      <c r="E121" s="15"/>
      <c r="F121" s="15"/>
      <c r="G121" s="15"/>
      <c r="H121" s="15"/>
      <c r="I121" s="15"/>
      <c r="J121" s="15"/>
      <c r="K121" s="15"/>
      <c r="L121" s="15"/>
      <c r="M121" s="15"/>
    </row>
    <row r="122" spans="1:13" ht="12.75">
      <c r="A122" s="31"/>
      <c r="B122" s="15"/>
      <c r="C122" s="15"/>
      <c r="D122" s="15"/>
      <c r="E122" s="15"/>
      <c r="F122" s="15"/>
      <c r="G122" s="15"/>
      <c r="H122" s="15"/>
      <c r="I122" s="15"/>
      <c r="J122" s="15"/>
      <c r="K122" s="15"/>
      <c r="L122" s="15"/>
      <c r="M122" s="15"/>
    </row>
    <row r="123" spans="1:13" ht="12.75">
      <c r="A123" s="31"/>
      <c r="B123" s="15"/>
      <c r="C123" s="15"/>
      <c r="D123" s="15"/>
      <c r="E123" s="15"/>
      <c r="F123" s="15"/>
      <c r="G123" s="15"/>
      <c r="H123" s="15"/>
      <c r="I123" s="15"/>
      <c r="J123" s="15"/>
      <c r="K123" s="15"/>
      <c r="L123" s="15"/>
      <c r="M123" s="15"/>
    </row>
    <row r="124" spans="1:13" ht="12.75">
      <c r="A124" s="31"/>
      <c r="B124" s="15"/>
      <c r="C124" s="15"/>
      <c r="D124" s="15"/>
      <c r="E124" s="15"/>
      <c r="F124" s="15"/>
      <c r="G124" s="15"/>
      <c r="H124" s="15"/>
      <c r="I124" s="15"/>
      <c r="J124" s="15"/>
      <c r="K124" s="15"/>
      <c r="L124" s="15"/>
      <c r="M124" s="15"/>
    </row>
    <row r="125" spans="1:13" ht="12.75">
      <c r="A125" s="31"/>
      <c r="B125" s="15"/>
      <c r="C125" s="15"/>
      <c r="D125" s="15"/>
      <c r="E125" s="15"/>
      <c r="F125" s="15"/>
      <c r="G125" s="15"/>
      <c r="H125" s="15"/>
      <c r="I125" s="15"/>
      <c r="J125" s="15"/>
      <c r="K125" s="15"/>
      <c r="L125" s="15"/>
      <c r="M125" s="15"/>
    </row>
    <row r="126" spans="1:13" ht="12.75">
      <c r="A126" s="31"/>
      <c r="B126" s="15"/>
      <c r="C126" s="15"/>
      <c r="D126" s="15"/>
      <c r="E126" s="15"/>
      <c r="F126" s="15"/>
      <c r="G126" s="15"/>
      <c r="H126" s="15"/>
      <c r="I126" s="15"/>
      <c r="J126" s="15"/>
      <c r="K126" s="15"/>
      <c r="L126" s="15"/>
      <c r="M126" s="15"/>
    </row>
    <row r="127" spans="1:13" ht="12.75">
      <c r="A127" s="31"/>
      <c r="B127" s="15"/>
      <c r="C127" s="15"/>
      <c r="D127" s="15"/>
      <c r="E127" s="15"/>
      <c r="F127" s="15"/>
      <c r="G127" s="15"/>
      <c r="H127" s="15"/>
      <c r="I127" s="15"/>
      <c r="J127" s="15"/>
      <c r="K127" s="15"/>
      <c r="L127" s="15"/>
      <c r="M127" s="15"/>
    </row>
    <row r="128" spans="1:13" ht="12.75">
      <c r="A128" s="31"/>
      <c r="B128" s="15"/>
      <c r="C128" s="15"/>
      <c r="D128" s="15"/>
      <c r="E128" s="15"/>
      <c r="F128" s="15"/>
      <c r="G128" s="15"/>
      <c r="H128" s="15"/>
      <c r="I128" s="15"/>
      <c r="J128" s="15"/>
      <c r="K128" s="15"/>
      <c r="L128" s="15"/>
      <c r="M128" s="15"/>
    </row>
    <row r="129" spans="1:13" ht="12.75">
      <c r="A129" s="31"/>
      <c r="B129" s="15"/>
      <c r="C129" s="15"/>
      <c r="D129" s="15"/>
      <c r="E129" s="15"/>
      <c r="F129" s="15"/>
      <c r="G129" s="15"/>
      <c r="H129" s="15"/>
      <c r="I129" s="15"/>
      <c r="J129" s="15"/>
      <c r="K129" s="15"/>
      <c r="L129" s="15"/>
      <c r="M129" s="15"/>
    </row>
    <row r="130" spans="1:13" ht="12.75">
      <c r="A130" s="31"/>
      <c r="B130" s="15"/>
      <c r="C130" s="15"/>
      <c r="D130" s="15"/>
      <c r="E130" s="15"/>
      <c r="F130" s="15"/>
      <c r="G130" s="15"/>
      <c r="H130" s="15"/>
      <c r="I130" s="15"/>
      <c r="J130" s="15"/>
      <c r="K130" s="15"/>
      <c r="L130" s="15"/>
      <c r="M130" s="15"/>
    </row>
    <row r="131" spans="1:13" ht="12.75">
      <c r="A131" s="31"/>
      <c r="B131" s="15"/>
      <c r="C131" s="15"/>
      <c r="D131" s="15"/>
      <c r="E131" s="15"/>
      <c r="F131" s="15"/>
      <c r="G131" s="15"/>
      <c r="H131" s="15"/>
      <c r="I131" s="15"/>
      <c r="J131" s="15"/>
      <c r="K131" s="15"/>
      <c r="L131" s="15"/>
      <c r="M131" s="15"/>
    </row>
    <row r="132" spans="1:13" ht="12.75">
      <c r="A132" s="31"/>
      <c r="B132" s="15"/>
      <c r="C132" s="15"/>
      <c r="D132" s="15"/>
      <c r="E132" s="15"/>
      <c r="F132" s="15"/>
      <c r="G132" s="15"/>
      <c r="H132" s="15"/>
      <c r="I132" s="15"/>
      <c r="J132" s="15"/>
      <c r="K132" s="15"/>
      <c r="L132" s="15"/>
      <c r="M132" s="15"/>
    </row>
    <row r="133" spans="1:13" ht="12.75">
      <c r="A133" s="31"/>
      <c r="B133" s="15"/>
      <c r="C133" s="15"/>
      <c r="D133" s="15"/>
      <c r="E133" s="15"/>
      <c r="F133" s="15"/>
      <c r="G133" s="15"/>
      <c r="H133" s="15"/>
      <c r="I133" s="15"/>
      <c r="J133" s="15"/>
      <c r="K133" s="15"/>
      <c r="L133" s="15"/>
      <c r="M133" s="15"/>
    </row>
    <row r="134" spans="1:13" ht="12.75">
      <c r="A134" s="31"/>
      <c r="B134" s="15"/>
      <c r="C134" s="15"/>
      <c r="D134" s="15"/>
      <c r="E134" s="15"/>
      <c r="F134" s="15"/>
      <c r="G134" s="15"/>
      <c r="H134" s="15"/>
      <c r="I134" s="15"/>
      <c r="J134" s="15"/>
      <c r="K134" s="15"/>
      <c r="L134" s="15"/>
      <c r="M134" s="15"/>
    </row>
    <row r="135" spans="1:13" ht="12.75">
      <c r="A135" s="31"/>
      <c r="B135" s="15"/>
      <c r="C135" s="15"/>
      <c r="D135" s="15"/>
      <c r="E135" s="15"/>
      <c r="F135" s="15"/>
      <c r="G135" s="15"/>
      <c r="H135" s="15"/>
      <c r="I135" s="15"/>
      <c r="J135" s="15"/>
      <c r="K135" s="15"/>
      <c r="L135" s="15"/>
      <c r="M135" s="15"/>
    </row>
    <row r="136" spans="1:13" ht="12.75">
      <c r="A136" s="31"/>
      <c r="B136" s="15"/>
      <c r="C136" s="15"/>
      <c r="D136" s="15"/>
      <c r="E136" s="15"/>
      <c r="F136" s="15"/>
      <c r="G136" s="15"/>
      <c r="H136" s="15"/>
      <c r="I136" s="15"/>
      <c r="J136" s="15"/>
      <c r="K136" s="15"/>
      <c r="L136" s="15"/>
      <c r="M136" s="15"/>
    </row>
    <row r="137" spans="1:13" ht="12.75">
      <c r="A137" s="31"/>
      <c r="B137" s="15"/>
      <c r="C137" s="15"/>
      <c r="D137" s="15"/>
      <c r="E137" s="15"/>
      <c r="F137" s="15"/>
      <c r="G137" s="15"/>
      <c r="H137" s="15"/>
      <c r="I137" s="15"/>
      <c r="J137" s="15"/>
      <c r="K137" s="15"/>
      <c r="L137" s="15"/>
      <c r="M137" s="15"/>
    </row>
    <row r="138" spans="1:13" ht="12.75">
      <c r="A138" s="31"/>
      <c r="B138" s="15"/>
      <c r="C138" s="15"/>
      <c r="D138" s="15"/>
      <c r="E138" s="15"/>
      <c r="F138" s="15"/>
      <c r="G138" s="15"/>
      <c r="H138" s="15"/>
      <c r="I138" s="15"/>
      <c r="J138" s="15"/>
      <c r="K138" s="15"/>
      <c r="L138" s="15"/>
      <c r="M138" s="15"/>
    </row>
    <row r="139" spans="1:13" ht="12.75">
      <c r="A139" s="31"/>
      <c r="B139" s="15"/>
      <c r="C139" s="15"/>
      <c r="D139" s="15"/>
      <c r="E139" s="15"/>
      <c r="F139" s="15"/>
      <c r="G139" s="15"/>
      <c r="H139" s="15"/>
      <c r="I139" s="15"/>
      <c r="J139" s="15"/>
      <c r="K139" s="15"/>
      <c r="L139" s="15"/>
      <c r="M139" s="15"/>
    </row>
    <row r="140" spans="1:13" ht="12.75">
      <c r="A140" s="31"/>
      <c r="B140" s="15"/>
      <c r="C140" s="15"/>
      <c r="D140" s="15"/>
      <c r="E140" s="15"/>
      <c r="F140" s="15"/>
      <c r="G140" s="15"/>
      <c r="H140" s="15"/>
      <c r="I140" s="15"/>
      <c r="J140" s="15"/>
      <c r="K140" s="15"/>
      <c r="L140" s="15"/>
      <c r="M140" s="15"/>
    </row>
    <row r="141" spans="1:13" ht="12.75">
      <c r="A141" s="31"/>
      <c r="B141" s="15"/>
      <c r="C141" s="15"/>
      <c r="D141" s="15"/>
      <c r="E141" s="15"/>
      <c r="F141" s="15"/>
      <c r="G141" s="15"/>
      <c r="H141" s="15"/>
      <c r="I141" s="15"/>
      <c r="J141" s="15"/>
      <c r="K141" s="15"/>
      <c r="L141" s="15"/>
      <c r="M141" s="15"/>
    </row>
    <row r="142" spans="1:13" ht="12.75">
      <c r="A142" s="31"/>
      <c r="B142" s="15"/>
      <c r="C142" s="15"/>
      <c r="D142" s="15"/>
      <c r="E142" s="15"/>
      <c r="F142" s="15"/>
      <c r="G142" s="15"/>
      <c r="H142" s="15"/>
      <c r="I142" s="15"/>
      <c r="J142" s="15"/>
      <c r="K142" s="15"/>
      <c r="L142" s="15"/>
      <c r="M142" s="15"/>
    </row>
    <row r="143" spans="1:13" ht="12.75">
      <c r="A143" s="31"/>
      <c r="B143" s="15"/>
      <c r="C143" s="15"/>
      <c r="D143" s="15"/>
      <c r="E143" s="15"/>
      <c r="F143" s="15"/>
      <c r="G143" s="15"/>
      <c r="H143" s="15"/>
      <c r="I143" s="15"/>
      <c r="J143" s="15"/>
      <c r="K143" s="15"/>
      <c r="L143" s="15"/>
      <c r="M143" s="15"/>
    </row>
    <row r="144" spans="1:13" ht="12.75">
      <c r="A144" s="31"/>
      <c r="B144" s="15"/>
      <c r="C144" s="15"/>
      <c r="D144" s="15"/>
      <c r="E144" s="15"/>
      <c r="F144" s="15"/>
      <c r="G144" s="15"/>
      <c r="H144" s="15"/>
      <c r="I144" s="15"/>
      <c r="J144" s="15"/>
      <c r="K144" s="15"/>
      <c r="L144" s="15"/>
      <c r="M144" s="15"/>
    </row>
    <row r="145" spans="1:13" ht="12.75">
      <c r="A145" s="31"/>
      <c r="B145" s="15"/>
      <c r="C145" s="15"/>
      <c r="D145" s="15"/>
      <c r="E145" s="15"/>
      <c r="F145" s="15"/>
      <c r="G145" s="15"/>
      <c r="H145" s="15"/>
      <c r="I145" s="15"/>
      <c r="J145" s="15"/>
      <c r="K145" s="15"/>
      <c r="L145" s="15"/>
      <c r="M145" s="15"/>
    </row>
    <row r="146" spans="1:13" ht="12.75">
      <c r="A146" s="31"/>
      <c r="B146" s="15"/>
      <c r="C146" s="15"/>
      <c r="D146" s="15"/>
      <c r="E146" s="15"/>
      <c r="F146" s="15"/>
      <c r="G146" s="15"/>
      <c r="H146" s="15"/>
      <c r="I146" s="15"/>
      <c r="J146" s="15"/>
      <c r="K146" s="15"/>
      <c r="L146" s="15"/>
      <c r="M146" s="15"/>
    </row>
    <row r="147" spans="1:13" ht="12.75">
      <c r="A147" s="31"/>
      <c r="B147" s="15"/>
      <c r="C147" s="15"/>
      <c r="D147" s="15"/>
      <c r="E147" s="15"/>
      <c r="F147" s="15"/>
      <c r="G147" s="15"/>
      <c r="H147" s="15"/>
      <c r="I147" s="15"/>
      <c r="J147" s="15"/>
      <c r="K147" s="15"/>
      <c r="L147" s="15"/>
      <c r="M147" s="15"/>
    </row>
    <row r="148" spans="1:13" ht="12.75">
      <c r="A148" s="31"/>
      <c r="B148" s="15"/>
      <c r="C148" s="15"/>
      <c r="D148" s="15"/>
      <c r="E148" s="15"/>
      <c r="F148" s="15"/>
      <c r="G148" s="15"/>
      <c r="H148" s="15"/>
      <c r="I148" s="15"/>
      <c r="J148" s="15"/>
      <c r="K148" s="15"/>
      <c r="L148" s="15"/>
      <c r="M148" s="15"/>
    </row>
    <row r="149" spans="1:13" ht="12.75">
      <c r="A149" s="31"/>
      <c r="B149" s="15"/>
      <c r="C149" s="15"/>
      <c r="D149" s="15"/>
      <c r="E149" s="15"/>
      <c r="F149" s="15"/>
      <c r="G149" s="15"/>
      <c r="H149" s="15"/>
      <c r="I149" s="15"/>
      <c r="J149" s="15"/>
      <c r="K149" s="15"/>
      <c r="L149" s="15"/>
      <c r="M149" s="15"/>
    </row>
    <row r="150" spans="1:13" ht="12.75">
      <c r="A150" s="31"/>
      <c r="B150" s="15"/>
      <c r="C150" s="15"/>
      <c r="D150" s="15"/>
      <c r="E150" s="15"/>
      <c r="F150" s="15"/>
      <c r="G150" s="15"/>
      <c r="H150" s="15"/>
      <c r="I150" s="15"/>
      <c r="J150" s="15"/>
      <c r="K150" s="15"/>
      <c r="L150" s="15"/>
      <c r="M150" s="15"/>
    </row>
    <row r="151" spans="1:13" ht="12.75">
      <c r="A151" s="31"/>
      <c r="B151" s="15"/>
      <c r="C151" s="15"/>
      <c r="D151" s="15"/>
      <c r="E151" s="15"/>
      <c r="F151" s="15"/>
      <c r="G151" s="15"/>
      <c r="H151" s="15"/>
      <c r="I151" s="15"/>
      <c r="J151" s="15"/>
      <c r="K151" s="15"/>
      <c r="L151" s="15"/>
      <c r="M151" s="15"/>
    </row>
    <row r="152" spans="1:13" ht="12.75">
      <c r="A152" s="31"/>
      <c r="B152" s="15"/>
      <c r="C152" s="15"/>
      <c r="D152" s="15"/>
      <c r="E152" s="15"/>
      <c r="F152" s="15"/>
      <c r="G152" s="15"/>
      <c r="H152" s="15"/>
      <c r="I152" s="15"/>
      <c r="J152" s="15"/>
      <c r="K152" s="15"/>
      <c r="L152" s="15"/>
      <c r="M152" s="15"/>
    </row>
    <row r="153" spans="1:13" ht="12.75">
      <c r="A153" s="31"/>
      <c r="B153" s="15"/>
      <c r="C153" s="15"/>
      <c r="D153" s="15"/>
      <c r="E153" s="15"/>
      <c r="F153" s="15"/>
      <c r="G153" s="15"/>
      <c r="H153" s="15"/>
      <c r="I153" s="15"/>
      <c r="J153" s="15"/>
      <c r="K153" s="15"/>
      <c r="L153" s="15"/>
      <c r="M153" s="15"/>
    </row>
    <row r="154" spans="1:13" ht="12.75">
      <c r="A154" s="31"/>
      <c r="B154" s="15"/>
      <c r="C154" s="15"/>
      <c r="D154" s="15"/>
      <c r="E154" s="15"/>
      <c r="F154" s="15"/>
      <c r="G154" s="15"/>
      <c r="H154" s="15"/>
      <c r="I154" s="15"/>
      <c r="J154" s="15"/>
      <c r="K154" s="15"/>
      <c r="L154" s="15"/>
      <c r="M154" s="15"/>
    </row>
    <row r="155" spans="1:13" ht="12.75">
      <c r="A155" s="31"/>
      <c r="B155" s="15"/>
      <c r="C155" s="15"/>
      <c r="D155" s="15"/>
      <c r="E155" s="15"/>
      <c r="F155" s="15"/>
      <c r="G155" s="15"/>
      <c r="H155" s="15"/>
      <c r="I155" s="15"/>
      <c r="J155" s="15"/>
      <c r="K155" s="15"/>
      <c r="L155" s="15"/>
      <c r="M155" s="15"/>
    </row>
    <row r="156" spans="1:13" ht="12.75">
      <c r="A156" s="31"/>
      <c r="B156" s="15"/>
      <c r="C156" s="15"/>
      <c r="D156" s="15"/>
      <c r="E156" s="15"/>
      <c r="F156" s="15"/>
      <c r="G156" s="15"/>
      <c r="H156" s="15"/>
      <c r="I156" s="15"/>
      <c r="J156" s="15"/>
      <c r="K156" s="15"/>
      <c r="L156" s="15"/>
      <c r="M156" s="15"/>
    </row>
    <row r="157" spans="1:13" ht="12.75">
      <c r="A157" s="31"/>
      <c r="B157" s="15"/>
      <c r="C157" s="15"/>
      <c r="D157" s="15"/>
      <c r="E157" s="15"/>
      <c r="F157" s="15"/>
      <c r="G157" s="15"/>
      <c r="H157" s="15"/>
      <c r="I157" s="15"/>
      <c r="J157" s="15"/>
      <c r="K157" s="15"/>
      <c r="L157" s="15"/>
      <c r="M157" s="15"/>
    </row>
    <row r="158" spans="1:13" ht="12.75">
      <c r="A158" s="31"/>
      <c r="B158" s="15"/>
      <c r="C158" s="15"/>
      <c r="D158" s="15"/>
      <c r="E158" s="15"/>
      <c r="F158" s="15"/>
      <c r="G158" s="15"/>
      <c r="H158" s="15"/>
      <c r="I158" s="15"/>
      <c r="J158" s="15"/>
      <c r="K158" s="15"/>
      <c r="L158" s="15"/>
      <c r="M158" s="15"/>
    </row>
    <row r="159" spans="1:13" ht="12.75">
      <c r="A159" s="31"/>
      <c r="B159" s="15"/>
      <c r="C159" s="15"/>
      <c r="D159" s="15"/>
      <c r="E159" s="15"/>
      <c r="F159" s="15"/>
      <c r="G159" s="15"/>
      <c r="H159" s="15"/>
      <c r="I159" s="15"/>
      <c r="J159" s="15"/>
      <c r="K159" s="15"/>
      <c r="L159" s="15"/>
      <c r="M159" s="15"/>
    </row>
    <row r="160" spans="1:13" ht="12.75">
      <c r="A160" s="31"/>
      <c r="B160" s="15"/>
      <c r="C160" s="15"/>
      <c r="D160" s="15"/>
      <c r="E160" s="15"/>
      <c r="F160" s="15"/>
      <c r="G160" s="15"/>
      <c r="H160" s="15"/>
      <c r="I160" s="15"/>
      <c r="J160" s="15"/>
      <c r="K160" s="15"/>
      <c r="L160" s="15"/>
      <c r="M160" s="15"/>
    </row>
    <row r="161" spans="1:13" ht="12.75">
      <c r="A161" s="31"/>
      <c r="B161" s="15"/>
      <c r="C161" s="15"/>
      <c r="D161" s="15"/>
      <c r="E161" s="15"/>
      <c r="F161" s="15"/>
      <c r="G161" s="15"/>
      <c r="H161" s="15"/>
      <c r="I161" s="15"/>
      <c r="J161" s="15"/>
      <c r="K161" s="15"/>
      <c r="L161" s="15"/>
      <c r="M161" s="15"/>
    </row>
    <row r="162" spans="1:13" ht="12.75">
      <c r="A162" s="31"/>
      <c r="B162" s="15"/>
      <c r="C162" s="15"/>
      <c r="D162" s="15"/>
      <c r="E162" s="15"/>
      <c r="F162" s="15"/>
      <c r="G162" s="15"/>
      <c r="H162" s="15"/>
      <c r="I162" s="15"/>
      <c r="J162" s="15"/>
      <c r="K162" s="15"/>
      <c r="L162" s="15"/>
      <c r="M162" s="15"/>
    </row>
    <row r="163" spans="1:13" ht="12.75">
      <c r="A163" s="31"/>
      <c r="B163" s="15"/>
      <c r="C163" s="15"/>
      <c r="D163" s="15"/>
      <c r="E163" s="15"/>
      <c r="F163" s="15"/>
      <c r="G163" s="15"/>
      <c r="H163" s="15"/>
      <c r="I163" s="15"/>
      <c r="J163" s="15"/>
      <c r="K163" s="15"/>
      <c r="L163" s="15"/>
      <c r="M163" s="15"/>
    </row>
    <row r="164" spans="1:13" ht="12.75">
      <c r="A164" s="31"/>
      <c r="B164" s="15"/>
      <c r="C164" s="15"/>
      <c r="D164" s="15"/>
      <c r="E164" s="15"/>
      <c r="F164" s="15"/>
      <c r="G164" s="15"/>
      <c r="H164" s="15"/>
      <c r="I164" s="15"/>
      <c r="J164" s="15"/>
      <c r="K164" s="15"/>
      <c r="L164" s="15"/>
      <c r="M164" s="15"/>
    </row>
    <row r="165" spans="1:13" ht="12.75">
      <c r="A165" s="31"/>
      <c r="B165" s="15"/>
      <c r="C165" s="15"/>
      <c r="D165" s="15"/>
      <c r="E165" s="15"/>
      <c r="F165" s="15"/>
      <c r="G165" s="15"/>
      <c r="H165" s="15"/>
      <c r="I165" s="15"/>
      <c r="J165" s="15"/>
      <c r="K165" s="15"/>
      <c r="L165" s="15"/>
      <c r="M165" s="15"/>
    </row>
    <row r="166" spans="1:13" ht="12.75">
      <c r="A166" s="31"/>
      <c r="B166" s="15"/>
      <c r="C166" s="15"/>
      <c r="D166" s="15"/>
      <c r="E166" s="15"/>
      <c r="F166" s="15"/>
      <c r="G166" s="15"/>
      <c r="H166" s="15"/>
      <c r="I166" s="15"/>
      <c r="J166" s="15"/>
      <c r="K166" s="15"/>
      <c r="L166" s="15"/>
      <c r="M166" s="15"/>
    </row>
    <row r="167" spans="1:13" ht="12.75">
      <c r="A167" s="31"/>
      <c r="B167" s="15"/>
      <c r="C167" s="15"/>
      <c r="D167" s="15"/>
      <c r="E167" s="15"/>
      <c r="F167" s="15"/>
      <c r="G167" s="15"/>
      <c r="H167" s="15"/>
      <c r="I167" s="15"/>
      <c r="J167" s="15"/>
      <c r="K167" s="15"/>
      <c r="L167" s="15"/>
      <c r="M167" s="15"/>
    </row>
    <row r="168" spans="1:13" ht="12.75">
      <c r="A168" s="31"/>
      <c r="B168" s="15"/>
      <c r="C168" s="15"/>
      <c r="D168" s="15"/>
      <c r="E168" s="15"/>
      <c r="F168" s="15"/>
      <c r="G168" s="15"/>
      <c r="H168" s="15"/>
      <c r="I168" s="15"/>
      <c r="J168" s="15"/>
      <c r="K168" s="15"/>
      <c r="L168" s="15"/>
      <c r="M168" s="15"/>
    </row>
    <row r="169" spans="1:13" ht="12.75">
      <c r="A169" s="31"/>
      <c r="B169" s="15"/>
      <c r="C169" s="15"/>
      <c r="D169" s="15"/>
      <c r="E169" s="15"/>
      <c r="F169" s="15"/>
      <c r="G169" s="15"/>
      <c r="H169" s="15"/>
      <c r="I169" s="15"/>
      <c r="J169" s="15"/>
      <c r="K169" s="15"/>
      <c r="L169" s="15"/>
      <c r="M169" s="15"/>
    </row>
    <row r="170" spans="1:13" ht="12.75">
      <c r="A170" s="31"/>
      <c r="B170" s="15"/>
      <c r="C170" s="15"/>
      <c r="D170" s="15"/>
      <c r="E170" s="15"/>
      <c r="F170" s="15"/>
      <c r="G170" s="15"/>
      <c r="H170" s="15"/>
      <c r="I170" s="15"/>
      <c r="J170" s="15"/>
      <c r="K170" s="15"/>
      <c r="L170" s="15"/>
      <c r="M170" s="15"/>
    </row>
    <row r="171" spans="1:13" ht="12.75">
      <c r="A171" s="31"/>
      <c r="B171" s="15"/>
      <c r="C171" s="15"/>
      <c r="D171" s="15"/>
      <c r="E171" s="15"/>
      <c r="F171" s="15"/>
      <c r="G171" s="15"/>
      <c r="H171" s="15"/>
      <c r="I171" s="15"/>
      <c r="J171" s="15"/>
      <c r="K171" s="15"/>
      <c r="L171" s="15"/>
      <c r="M171" s="15"/>
    </row>
    <row r="172" spans="1:13" ht="12.75">
      <c r="A172" s="31"/>
      <c r="B172" s="15"/>
      <c r="C172" s="15"/>
      <c r="D172" s="15"/>
      <c r="E172" s="15"/>
      <c r="F172" s="15"/>
      <c r="G172" s="15"/>
      <c r="H172" s="15"/>
      <c r="I172" s="15"/>
      <c r="J172" s="15"/>
      <c r="K172" s="15"/>
      <c r="L172" s="15"/>
      <c r="M172" s="15"/>
    </row>
    <row r="173" spans="1:13" ht="12.75">
      <c r="A173" s="31"/>
      <c r="B173" s="15"/>
      <c r="C173" s="15"/>
      <c r="D173" s="15"/>
      <c r="E173" s="15"/>
      <c r="F173" s="15"/>
      <c r="G173" s="15"/>
      <c r="H173" s="15"/>
      <c r="I173" s="15"/>
      <c r="J173" s="15"/>
      <c r="K173" s="15"/>
      <c r="L173" s="15"/>
      <c r="M173" s="15"/>
    </row>
    <row r="174" spans="1:13" ht="12.75">
      <c r="A174" s="31"/>
      <c r="B174" s="15"/>
      <c r="C174" s="15"/>
      <c r="D174" s="15"/>
      <c r="E174" s="15"/>
      <c r="F174" s="15"/>
      <c r="G174" s="15"/>
      <c r="H174" s="15"/>
      <c r="I174" s="15"/>
      <c r="J174" s="15"/>
      <c r="K174" s="15"/>
      <c r="L174" s="15"/>
      <c r="M174" s="15"/>
    </row>
    <row r="175" spans="1:13" ht="12.75">
      <c r="A175" s="31"/>
      <c r="B175" s="15"/>
      <c r="C175" s="15"/>
      <c r="D175" s="15"/>
      <c r="E175" s="15"/>
      <c r="F175" s="15"/>
      <c r="G175" s="15"/>
      <c r="H175" s="15"/>
      <c r="I175" s="15"/>
      <c r="J175" s="15"/>
      <c r="K175" s="15"/>
      <c r="L175" s="15"/>
      <c r="M175" s="15"/>
    </row>
    <row r="176" spans="1:13" ht="12.75">
      <c r="A176" s="31"/>
      <c r="B176" s="15"/>
      <c r="C176" s="15"/>
      <c r="D176" s="15"/>
      <c r="E176" s="15"/>
      <c r="F176" s="15"/>
      <c r="G176" s="15"/>
      <c r="H176" s="15"/>
      <c r="I176" s="15"/>
      <c r="J176" s="15"/>
      <c r="K176" s="15"/>
      <c r="L176" s="15"/>
      <c r="M176" s="15"/>
    </row>
    <row r="177" spans="1:13" ht="12.75">
      <c r="A177" s="31"/>
      <c r="B177" s="15"/>
      <c r="C177" s="15"/>
      <c r="D177" s="15"/>
      <c r="E177" s="15"/>
      <c r="F177" s="15"/>
      <c r="G177" s="15"/>
      <c r="H177" s="15"/>
      <c r="I177" s="15"/>
      <c r="J177" s="15"/>
      <c r="K177" s="15"/>
      <c r="L177" s="15"/>
      <c r="M177" s="15"/>
    </row>
    <row r="178" spans="1:13" ht="12.75">
      <c r="A178" s="31"/>
      <c r="B178" s="15"/>
      <c r="C178" s="15"/>
      <c r="D178" s="15"/>
      <c r="E178" s="15"/>
      <c r="F178" s="15"/>
      <c r="G178" s="15"/>
      <c r="H178" s="15"/>
      <c r="I178" s="15"/>
      <c r="J178" s="15"/>
      <c r="K178" s="15"/>
      <c r="L178" s="15"/>
      <c r="M178" s="15"/>
    </row>
    <row r="179" spans="1:13" ht="12.75">
      <c r="A179" s="31"/>
      <c r="B179" s="15"/>
      <c r="C179" s="15"/>
      <c r="D179" s="15"/>
      <c r="E179" s="15"/>
      <c r="F179" s="15"/>
      <c r="G179" s="15"/>
      <c r="H179" s="15"/>
      <c r="I179" s="15"/>
      <c r="J179" s="15"/>
      <c r="K179" s="15"/>
      <c r="L179" s="15"/>
      <c r="M179" s="15"/>
    </row>
    <row r="180" spans="1:13" ht="12.75">
      <c r="A180" s="31"/>
      <c r="B180" s="15"/>
      <c r="C180" s="15"/>
      <c r="D180" s="15"/>
      <c r="E180" s="15"/>
      <c r="F180" s="15"/>
      <c r="G180" s="15"/>
      <c r="H180" s="15"/>
      <c r="I180" s="15"/>
      <c r="J180" s="15"/>
      <c r="K180" s="15"/>
      <c r="L180" s="15"/>
      <c r="M180" s="15"/>
    </row>
    <row r="181" spans="1:13" ht="12.75">
      <c r="A181" s="31"/>
      <c r="B181" s="15"/>
      <c r="C181" s="15"/>
      <c r="D181" s="15"/>
      <c r="E181" s="15"/>
      <c r="F181" s="15"/>
      <c r="G181" s="15"/>
      <c r="H181" s="15"/>
      <c r="I181" s="15"/>
      <c r="J181" s="15"/>
      <c r="K181" s="15"/>
      <c r="L181" s="15"/>
      <c r="M181" s="15"/>
    </row>
    <row r="182" spans="1:13" ht="12.75">
      <c r="A182" s="31"/>
      <c r="B182" s="15"/>
      <c r="C182" s="15"/>
      <c r="D182" s="15"/>
      <c r="E182" s="15"/>
      <c r="F182" s="15"/>
      <c r="G182" s="15"/>
      <c r="H182" s="15"/>
      <c r="I182" s="15"/>
      <c r="J182" s="15"/>
      <c r="K182" s="15"/>
      <c r="L182" s="15"/>
      <c r="M182" s="15"/>
    </row>
    <row r="183" spans="1:13" ht="12.75">
      <c r="A183" s="31"/>
      <c r="B183" s="15"/>
      <c r="C183" s="15"/>
      <c r="D183" s="15"/>
      <c r="E183" s="15"/>
      <c r="F183" s="15"/>
      <c r="G183" s="15"/>
      <c r="H183" s="15"/>
      <c r="I183" s="15"/>
      <c r="J183" s="15"/>
      <c r="K183" s="15"/>
      <c r="L183" s="15"/>
      <c r="M183" s="15"/>
    </row>
    <row r="184" spans="1:13" ht="12.75">
      <c r="A184" s="31"/>
      <c r="B184" s="15"/>
      <c r="C184" s="15"/>
      <c r="D184" s="15"/>
      <c r="E184" s="15"/>
      <c r="F184" s="15"/>
      <c r="G184" s="15"/>
      <c r="H184" s="15"/>
      <c r="I184" s="15"/>
      <c r="J184" s="15"/>
      <c r="K184" s="15"/>
      <c r="L184" s="15"/>
      <c r="M184" s="15"/>
    </row>
    <row r="185" spans="1:13" ht="12.75">
      <c r="A185" s="31"/>
      <c r="B185" s="15"/>
      <c r="C185" s="15"/>
      <c r="D185" s="15"/>
      <c r="E185" s="15"/>
      <c r="F185" s="15"/>
      <c r="G185" s="15"/>
      <c r="H185" s="15"/>
      <c r="I185" s="15"/>
      <c r="J185" s="15"/>
      <c r="K185" s="15"/>
      <c r="L185" s="15"/>
      <c r="M185" s="15"/>
    </row>
    <row r="186" spans="1:13" ht="12.75">
      <c r="A186" s="31"/>
      <c r="B186" s="15"/>
      <c r="C186" s="15"/>
      <c r="D186" s="15"/>
      <c r="E186" s="15"/>
      <c r="F186" s="15"/>
      <c r="G186" s="15"/>
      <c r="H186" s="15"/>
      <c r="I186" s="15"/>
      <c r="J186" s="15"/>
      <c r="K186" s="15"/>
      <c r="L186" s="15"/>
      <c r="M186" s="15"/>
    </row>
    <row r="187" spans="1:13" ht="12.75">
      <c r="A187" s="31"/>
      <c r="B187" s="15"/>
      <c r="C187" s="15"/>
      <c r="D187" s="15"/>
      <c r="E187" s="15"/>
      <c r="F187" s="15"/>
      <c r="G187" s="15"/>
      <c r="H187" s="15"/>
      <c r="I187" s="15"/>
      <c r="J187" s="15"/>
      <c r="K187" s="15"/>
      <c r="L187" s="15"/>
      <c r="M187" s="15"/>
    </row>
    <row r="188" spans="1:13" ht="12.75">
      <c r="A188" s="31"/>
      <c r="B188" s="15"/>
      <c r="C188" s="15"/>
      <c r="D188" s="15"/>
      <c r="E188" s="15"/>
      <c r="F188" s="15"/>
      <c r="G188" s="15"/>
      <c r="H188" s="15"/>
      <c r="I188" s="15"/>
      <c r="J188" s="15"/>
      <c r="K188" s="15"/>
      <c r="L188" s="15"/>
      <c r="M188" s="15"/>
    </row>
    <row r="189" spans="1:13" ht="12.75">
      <c r="A189" s="31"/>
      <c r="B189" s="15"/>
      <c r="C189" s="15"/>
      <c r="D189" s="15"/>
      <c r="E189" s="15"/>
      <c r="F189" s="15"/>
      <c r="G189" s="15"/>
      <c r="H189" s="15"/>
      <c r="I189" s="15"/>
      <c r="J189" s="15"/>
      <c r="K189" s="15"/>
      <c r="L189" s="15"/>
      <c r="M189" s="15"/>
    </row>
    <row r="190" spans="1:13" ht="12.75">
      <c r="A190" s="31"/>
      <c r="B190" s="15"/>
      <c r="C190" s="15"/>
      <c r="D190" s="15"/>
      <c r="E190" s="15"/>
      <c r="F190" s="15"/>
      <c r="G190" s="15"/>
      <c r="H190" s="15"/>
      <c r="I190" s="15"/>
      <c r="J190" s="15"/>
      <c r="K190" s="15"/>
      <c r="L190" s="15"/>
      <c r="M190" s="15"/>
    </row>
    <row r="191" spans="1:13" ht="12.75">
      <c r="A191" s="31"/>
      <c r="B191" s="15"/>
      <c r="C191" s="15"/>
      <c r="D191" s="15"/>
      <c r="E191" s="15"/>
      <c r="F191" s="15"/>
      <c r="G191" s="15"/>
      <c r="H191" s="15"/>
      <c r="I191" s="15"/>
      <c r="J191" s="15"/>
      <c r="K191" s="15"/>
      <c r="L191" s="15"/>
      <c r="M191" s="15"/>
    </row>
    <row r="192" spans="1:13" ht="12.75">
      <c r="A192" s="31"/>
      <c r="B192" s="15"/>
      <c r="C192" s="15"/>
      <c r="D192" s="15"/>
      <c r="E192" s="15"/>
      <c r="F192" s="15"/>
      <c r="G192" s="15"/>
      <c r="H192" s="15"/>
      <c r="I192" s="15"/>
      <c r="J192" s="15"/>
      <c r="K192" s="15"/>
      <c r="L192" s="15"/>
      <c r="M192" s="15"/>
    </row>
    <row r="193" spans="1:13" ht="12.75">
      <c r="A193" s="31"/>
      <c r="B193" s="15"/>
      <c r="C193" s="15"/>
      <c r="D193" s="15"/>
      <c r="E193" s="15"/>
      <c r="F193" s="15"/>
      <c r="G193" s="15"/>
      <c r="H193" s="15"/>
      <c r="I193" s="15"/>
      <c r="J193" s="15"/>
      <c r="K193" s="15"/>
      <c r="L193" s="15"/>
      <c r="M193" s="15"/>
    </row>
    <row r="194" spans="1:13" ht="12.75">
      <c r="A194" s="31"/>
      <c r="B194" s="15"/>
      <c r="C194" s="15"/>
      <c r="D194" s="15"/>
      <c r="E194" s="15"/>
      <c r="F194" s="15"/>
      <c r="G194" s="15"/>
      <c r="H194" s="15"/>
      <c r="I194" s="15"/>
      <c r="J194" s="15"/>
      <c r="K194" s="15"/>
      <c r="L194" s="15"/>
      <c r="M194" s="15"/>
    </row>
    <row r="195" spans="1:13" ht="12.75">
      <c r="A195" s="31"/>
      <c r="B195" s="15"/>
      <c r="C195" s="15"/>
      <c r="D195" s="15"/>
      <c r="E195" s="15"/>
      <c r="F195" s="15"/>
      <c r="G195" s="15"/>
      <c r="H195" s="15"/>
      <c r="I195" s="15"/>
      <c r="J195" s="15"/>
      <c r="K195" s="15"/>
      <c r="L195" s="15"/>
      <c r="M195" s="15"/>
    </row>
    <row r="196" spans="1:13" ht="12.75">
      <c r="A196" s="31"/>
      <c r="B196" s="15"/>
      <c r="C196" s="15"/>
      <c r="D196" s="15"/>
      <c r="E196" s="15"/>
      <c r="F196" s="15"/>
      <c r="G196" s="15"/>
      <c r="H196" s="15"/>
      <c r="I196" s="15"/>
      <c r="J196" s="15"/>
      <c r="K196" s="15"/>
      <c r="L196" s="15"/>
      <c r="M196" s="15"/>
    </row>
    <row r="197" spans="1:13" ht="12.75">
      <c r="A197" s="31"/>
      <c r="B197" s="15"/>
      <c r="C197" s="15"/>
      <c r="D197" s="15"/>
      <c r="E197" s="15"/>
      <c r="F197" s="15"/>
      <c r="G197" s="15"/>
      <c r="H197" s="15"/>
      <c r="I197" s="15"/>
      <c r="J197" s="15"/>
      <c r="K197" s="15"/>
      <c r="L197" s="15"/>
      <c r="M197" s="15"/>
    </row>
    <row r="198" spans="1:13" ht="12.75">
      <c r="A198" s="31"/>
      <c r="B198" s="15"/>
      <c r="C198" s="15"/>
      <c r="D198" s="15"/>
      <c r="E198" s="15"/>
      <c r="F198" s="15"/>
      <c r="G198" s="15"/>
      <c r="H198" s="15"/>
      <c r="I198" s="15"/>
      <c r="J198" s="15"/>
      <c r="K198" s="15"/>
      <c r="L198" s="15"/>
      <c r="M198" s="15"/>
    </row>
    <row r="199" spans="1:13" ht="12.75">
      <c r="A199" s="31"/>
      <c r="B199" s="15"/>
      <c r="C199" s="15"/>
      <c r="D199" s="15"/>
      <c r="E199" s="15"/>
      <c r="F199" s="15"/>
      <c r="G199" s="15"/>
      <c r="H199" s="15"/>
      <c r="I199" s="15"/>
      <c r="J199" s="15"/>
      <c r="K199" s="15"/>
      <c r="L199" s="15"/>
      <c r="M199" s="15"/>
    </row>
    <row r="200" spans="1:13" ht="12.75">
      <c r="A200" s="31"/>
      <c r="B200" s="15"/>
      <c r="C200" s="15"/>
      <c r="D200" s="15"/>
      <c r="E200" s="15"/>
      <c r="F200" s="15"/>
      <c r="G200" s="15"/>
      <c r="H200" s="15"/>
      <c r="I200" s="15"/>
      <c r="J200" s="15"/>
      <c r="K200" s="15"/>
      <c r="L200" s="15"/>
      <c r="M200" s="15"/>
    </row>
    <row r="201" spans="1:13" ht="12.75">
      <c r="A201" s="31"/>
      <c r="B201" s="15"/>
      <c r="C201" s="15"/>
      <c r="D201" s="15"/>
      <c r="E201" s="15"/>
      <c r="F201" s="15"/>
      <c r="G201" s="15"/>
      <c r="H201" s="15"/>
      <c r="I201" s="15"/>
      <c r="J201" s="15"/>
      <c r="K201" s="15"/>
      <c r="L201" s="15"/>
      <c r="M201" s="15"/>
    </row>
    <row r="202" spans="1:13" ht="12.75">
      <c r="A202" s="31"/>
      <c r="B202" s="15"/>
      <c r="C202" s="15"/>
      <c r="D202" s="15"/>
      <c r="E202" s="15"/>
      <c r="F202" s="15"/>
      <c r="G202" s="15"/>
      <c r="H202" s="15"/>
      <c r="I202" s="15"/>
      <c r="J202" s="15"/>
      <c r="K202" s="15"/>
      <c r="L202" s="15"/>
      <c r="M202" s="15"/>
    </row>
    <row r="203" spans="1:13" ht="12.75">
      <c r="A203" s="31"/>
      <c r="B203" s="15"/>
      <c r="C203" s="15"/>
      <c r="D203" s="15"/>
      <c r="E203" s="15"/>
      <c r="F203" s="15"/>
      <c r="G203" s="15"/>
      <c r="H203" s="15"/>
      <c r="I203" s="15"/>
      <c r="J203" s="15"/>
      <c r="K203" s="15"/>
      <c r="L203" s="15"/>
      <c r="M203" s="15"/>
    </row>
    <row r="204" spans="1:13" ht="12.75">
      <c r="A204" s="31"/>
      <c r="B204" s="15"/>
      <c r="C204" s="15"/>
      <c r="D204" s="15"/>
      <c r="E204" s="15"/>
      <c r="F204" s="15"/>
      <c r="G204" s="15"/>
      <c r="H204" s="15"/>
      <c r="I204" s="15"/>
      <c r="J204" s="15"/>
      <c r="K204" s="15"/>
      <c r="L204" s="15"/>
      <c r="M204" s="15"/>
    </row>
    <row r="205" spans="1:13" ht="12.75">
      <c r="A205" s="31"/>
      <c r="B205" s="15"/>
      <c r="C205" s="15"/>
      <c r="D205" s="15"/>
      <c r="E205" s="15"/>
      <c r="F205" s="15"/>
      <c r="G205" s="15"/>
      <c r="H205" s="15"/>
      <c r="I205" s="15"/>
      <c r="J205" s="15"/>
      <c r="K205" s="15"/>
      <c r="L205" s="15"/>
      <c r="M205" s="15"/>
    </row>
    <row r="206" spans="1:13" ht="12.75">
      <c r="A206" s="31"/>
      <c r="B206" s="15"/>
      <c r="C206" s="15"/>
      <c r="D206" s="15"/>
      <c r="E206" s="15"/>
      <c r="F206" s="15"/>
      <c r="G206" s="15"/>
      <c r="H206" s="15"/>
      <c r="I206" s="15"/>
      <c r="J206" s="15"/>
      <c r="K206" s="15"/>
      <c r="L206" s="15"/>
      <c r="M206" s="15"/>
    </row>
    <row r="207" spans="1:13" ht="12.75">
      <c r="A207" s="31"/>
      <c r="B207" s="15"/>
      <c r="C207" s="15"/>
      <c r="D207" s="15"/>
      <c r="E207" s="15"/>
      <c r="F207" s="15"/>
      <c r="G207" s="15"/>
      <c r="H207" s="15"/>
      <c r="I207" s="15"/>
      <c r="J207" s="15"/>
      <c r="K207" s="15"/>
      <c r="L207" s="15"/>
      <c r="M207" s="15"/>
    </row>
    <row r="208" spans="1:13" ht="12.75">
      <c r="A208" s="31"/>
      <c r="B208" s="15"/>
      <c r="C208" s="15"/>
      <c r="D208" s="15"/>
      <c r="E208" s="15"/>
      <c r="F208" s="15"/>
      <c r="G208" s="15"/>
      <c r="H208" s="15"/>
      <c r="I208" s="15"/>
      <c r="J208" s="15"/>
      <c r="K208" s="15"/>
      <c r="L208" s="15"/>
      <c r="M208" s="15"/>
    </row>
    <row r="209" spans="1:13" ht="12.75">
      <c r="A209" s="31"/>
      <c r="B209" s="15"/>
      <c r="C209" s="15"/>
      <c r="D209" s="15"/>
      <c r="E209" s="15"/>
      <c r="F209" s="15"/>
      <c r="G209" s="15"/>
      <c r="H209" s="15"/>
      <c r="I209" s="15"/>
      <c r="J209" s="15"/>
      <c r="K209" s="15"/>
      <c r="L209" s="15"/>
      <c r="M209" s="15"/>
    </row>
    <row r="210" spans="1:13" ht="12.75">
      <c r="A210" s="31"/>
      <c r="B210" s="15"/>
      <c r="C210" s="15"/>
      <c r="D210" s="15"/>
      <c r="E210" s="15"/>
      <c r="F210" s="15"/>
      <c r="G210" s="15"/>
      <c r="H210" s="15"/>
      <c r="I210" s="15"/>
      <c r="J210" s="15"/>
      <c r="K210" s="15"/>
      <c r="L210" s="15"/>
      <c r="M210" s="15"/>
    </row>
    <row r="211" spans="1:13" ht="12.75">
      <c r="A211" s="31"/>
      <c r="B211" s="15"/>
      <c r="C211" s="15"/>
      <c r="D211" s="15"/>
      <c r="E211" s="15"/>
      <c r="F211" s="15"/>
      <c r="G211" s="15"/>
      <c r="H211" s="15"/>
      <c r="I211" s="15"/>
      <c r="J211" s="15"/>
      <c r="K211" s="15"/>
      <c r="L211" s="15"/>
      <c r="M211" s="15"/>
    </row>
    <row r="212" spans="1:13" ht="12.75">
      <c r="A212" s="31"/>
      <c r="B212" s="15"/>
      <c r="C212" s="15"/>
      <c r="D212" s="15"/>
      <c r="E212" s="15"/>
      <c r="F212" s="15"/>
      <c r="G212" s="15"/>
      <c r="H212" s="15"/>
      <c r="I212" s="15"/>
      <c r="J212" s="15"/>
      <c r="K212" s="15"/>
      <c r="L212" s="15"/>
      <c r="M212" s="15"/>
    </row>
    <row r="213" spans="1:13" ht="12.75">
      <c r="A213" s="31"/>
      <c r="B213" s="15"/>
      <c r="C213" s="15"/>
      <c r="D213" s="15"/>
      <c r="E213" s="15"/>
      <c r="F213" s="15"/>
      <c r="G213" s="15"/>
      <c r="H213" s="15"/>
      <c r="I213" s="15"/>
      <c r="J213" s="15"/>
      <c r="K213" s="15"/>
      <c r="L213" s="15"/>
      <c r="M213" s="15"/>
    </row>
    <row r="214" spans="1:13" ht="12.75">
      <c r="A214" s="31"/>
      <c r="B214" s="15"/>
      <c r="C214" s="15"/>
      <c r="D214" s="15"/>
      <c r="E214" s="15"/>
      <c r="F214" s="15"/>
      <c r="G214" s="15"/>
      <c r="H214" s="15"/>
      <c r="I214" s="15"/>
      <c r="J214" s="15"/>
      <c r="K214" s="15"/>
      <c r="L214" s="15"/>
      <c r="M214" s="15"/>
    </row>
    <row r="215" spans="1:13" ht="12.75">
      <c r="A215" s="31"/>
      <c r="B215" s="15"/>
      <c r="C215" s="15"/>
      <c r="D215" s="15"/>
      <c r="E215" s="15"/>
      <c r="F215" s="15"/>
      <c r="G215" s="15"/>
      <c r="H215" s="15"/>
      <c r="I215" s="15"/>
      <c r="J215" s="15"/>
      <c r="K215" s="15"/>
      <c r="L215" s="15"/>
      <c r="M215" s="15"/>
    </row>
    <row r="216" spans="1:13" ht="12.75">
      <c r="A216" s="31"/>
      <c r="B216" s="15"/>
      <c r="C216" s="15"/>
      <c r="D216" s="15"/>
      <c r="E216" s="15"/>
      <c r="F216" s="15"/>
      <c r="G216" s="15"/>
      <c r="H216" s="15"/>
      <c r="I216" s="15"/>
      <c r="J216" s="15"/>
      <c r="K216" s="15"/>
      <c r="L216" s="15"/>
      <c r="M216" s="15"/>
    </row>
    <row r="217" spans="1:13" ht="12.75">
      <c r="A217" s="31"/>
      <c r="B217" s="15"/>
      <c r="C217" s="15"/>
      <c r="D217" s="15"/>
      <c r="E217" s="15"/>
      <c r="F217" s="15"/>
      <c r="G217" s="15"/>
      <c r="H217" s="15"/>
      <c r="I217" s="15"/>
      <c r="J217" s="15"/>
      <c r="K217" s="15"/>
      <c r="L217" s="15"/>
      <c r="M217" s="15"/>
    </row>
    <row r="218" spans="1:13" ht="12.75">
      <c r="A218" s="31"/>
      <c r="B218" s="15"/>
      <c r="C218" s="15"/>
      <c r="D218" s="15"/>
      <c r="E218" s="15"/>
      <c r="F218" s="15"/>
      <c r="G218" s="15"/>
      <c r="H218" s="15"/>
      <c r="I218" s="15"/>
      <c r="J218" s="15"/>
      <c r="K218" s="15"/>
      <c r="L218" s="15"/>
      <c r="M218" s="15"/>
    </row>
    <row r="219" spans="1:13" ht="12.75">
      <c r="A219" s="31"/>
      <c r="B219" s="15"/>
      <c r="C219" s="15"/>
      <c r="D219" s="15"/>
      <c r="E219" s="15"/>
      <c r="F219" s="15"/>
      <c r="G219" s="15"/>
      <c r="H219" s="15"/>
      <c r="I219" s="15"/>
      <c r="J219" s="15"/>
      <c r="K219" s="15"/>
      <c r="L219" s="15"/>
      <c r="M219" s="15"/>
    </row>
    <row r="220" spans="1:13" ht="12.75">
      <c r="A220" s="31"/>
      <c r="B220" s="15"/>
      <c r="C220" s="15"/>
      <c r="D220" s="15"/>
      <c r="E220" s="15"/>
      <c r="F220" s="15"/>
      <c r="G220" s="15"/>
      <c r="H220" s="15"/>
      <c r="I220" s="15"/>
      <c r="J220" s="15"/>
      <c r="K220" s="15"/>
      <c r="L220" s="15"/>
      <c r="M220" s="15"/>
    </row>
    <row r="221" spans="1:13" ht="12.75">
      <c r="A221" s="31"/>
      <c r="B221" s="15"/>
      <c r="C221" s="15"/>
      <c r="D221" s="15"/>
      <c r="E221" s="15"/>
      <c r="F221" s="15"/>
      <c r="G221" s="15"/>
      <c r="H221" s="15"/>
      <c r="I221" s="15"/>
      <c r="J221" s="15"/>
      <c r="K221" s="15"/>
      <c r="L221" s="15"/>
      <c r="M221" s="15"/>
    </row>
    <row r="222" spans="1:13" ht="12.75">
      <c r="A222" s="31"/>
      <c r="B222" s="15"/>
      <c r="C222" s="15"/>
      <c r="D222" s="15"/>
      <c r="E222" s="15"/>
      <c r="F222" s="15"/>
      <c r="G222" s="15"/>
      <c r="H222" s="15"/>
      <c r="I222" s="15"/>
      <c r="J222" s="15"/>
      <c r="K222" s="15"/>
      <c r="L222" s="15"/>
      <c r="M222" s="15"/>
    </row>
    <row r="223" spans="1:13" ht="12.75">
      <c r="A223" s="31"/>
      <c r="B223" s="15"/>
      <c r="C223" s="15"/>
      <c r="D223" s="15"/>
      <c r="E223" s="15"/>
      <c r="F223" s="15"/>
      <c r="G223" s="15"/>
      <c r="H223" s="15"/>
      <c r="I223" s="15"/>
      <c r="J223" s="15"/>
      <c r="K223" s="15"/>
      <c r="L223" s="15"/>
      <c r="M223" s="15"/>
    </row>
    <row r="224" spans="1:13" ht="12.75">
      <c r="A224" s="31"/>
      <c r="B224" s="15"/>
      <c r="C224" s="15"/>
      <c r="D224" s="15"/>
      <c r="E224" s="15"/>
      <c r="F224" s="15"/>
      <c r="G224" s="15"/>
      <c r="H224" s="15"/>
      <c r="I224" s="15"/>
      <c r="J224" s="15"/>
      <c r="K224" s="15"/>
      <c r="L224" s="15"/>
      <c r="M224" s="15"/>
    </row>
    <row r="225" spans="1:13" ht="12.75">
      <c r="A225" s="31"/>
      <c r="B225" s="15"/>
      <c r="C225" s="15"/>
      <c r="D225" s="15"/>
      <c r="E225" s="15"/>
      <c r="F225" s="15"/>
      <c r="G225" s="15"/>
      <c r="H225" s="15"/>
      <c r="I225" s="15"/>
      <c r="J225" s="15"/>
      <c r="K225" s="15"/>
      <c r="L225" s="15"/>
      <c r="M225" s="15"/>
    </row>
    <row r="226" spans="1:13" ht="12.75">
      <c r="A226" s="31"/>
      <c r="B226" s="15"/>
      <c r="C226" s="15"/>
      <c r="D226" s="15"/>
      <c r="E226" s="15"/>
      <c r="F226" s="15"/>
      <c r="G226" s="15"/>
      <c r="H226" s="15"/>
      <c r="I226" s="15"/>
      <c r="J226" s="15"/>
      <c r="K226" s="15"/>
      <c r="L226" s="15"/>
      <c r="M226" s="15"/>
    </row>
    <row r="227" spans="1:13" ht="12.75">
      <c r="A227" s="31"/>
      <c r="B227" s="15"/>
      <c r="C227" s="15"/>
      <c r="D227" s="15"/>
      <c r="E227" s="15"/>
      <c r="F227" s="15"/>
      <c r="G227" s="15"/>
      <c r="H227" s="15"/>
      <c r="I227" s="15"/>
      <c r="J227" s="15"/>
      <c r="K227" s="15"/>
      <c r="L227" s="15"/>
      <c r="M227" s="15"/>
    </row>
    <row r="228" spans="1:13" ht="12.75">
      <c r="A228" s="31"/>
      <c r="B228" s="15"/>
      <c r="C228" s="15"/>
      <c r="D228" s="15"/>
      <c r="E228" s="15"/>
      <c r="F228" s="15"/>
      <c r="G228" s="15"/>
      <c r="H228" s="15"/>
      <c r="I228" s="15"/>
      <c r="J228" s="15"/>
      <c r="K228" s="15"/>
      <c r="L228" s="15"/>
      <c r="M228" s="15"/>
    </row>
    <row r="229" spans="1:13" ht="12.75">
      <c r="A229" s="31"/>
      <c r="B229" s="15"/>
      <c r="C229" s="15"/>
      <c r="D229" s="15"/>
      <c r="E229" s="15"/>
      <c r="F229" s="15"/>
      <c r="G229" s="15"/>
      <c r="H229" s="15"/>
      <c r="I229" s="15"/>
      <c r="J229" s="15"/>
      <c r="K229" s="15"/>
      <c r="L229" s="15"/>
      <c r="M229" s="15"/>
    </row>
    <row r="230" spans="1:13" ht="12.75">
      <c r="A230" s="31"/>
      <c r="B230" s="15"/>
      <c r="C230" s="15"/>
      <c r="D230" s="15"/>
      <c r="E230" s="15"/>
      <c r="F230" s="15"/>
      <c r="G230" s="15"/>
      <c r="H230" s="15"/>
      <c r="I230" s="15"/>
      <c r="J230" s="15"/>
      <c r="K230" s="15"/>
      <c r="L230" s="15"/>
      <c r="M230" s="15"/>
    </row>
    <row r="231" spans="1:13" ht="12.75">
      <c r="A231" s="31"/>
      <c r="B231" s="15"/>
      <c r="C231" s="15"/>
      <c r="D231" s="15"/>
      <c r="E231" s="15"/>
      <c r="F231" s="15"/>
      <c r="G231" s="15"/>
      <c r="H231" s="15"/>
      <c r="I231" s="15"/>
      <c r="J231" s="15"/>
      <c r="K231" s="15"/>
      <c r="L231" s="15"/>
      <c r="M231" s="15"/>
    </row>
    <row r="232" spans="1:13" ht="12.75">
      <c r="A232" s="31"/>
      <c r="B232" s="15"/>
      <c r="C232" s="15"/>
      <c r="D232" s="15"/>
      <c r="E232" s="15"/>
      <c r="F232" s="15"/>
      <c r="G232" s="15"/>
      <c r="H232" s="15"/>
      <c r="I232" s="15"/>
      <c r="J232" s="15"/>
      <c r="K232" s="15"/>
      <c r="L232" s="15"/>
      <c r="M232" s="15"/>
    </row>
    <row r="233" spans="1:13" ht="12.75">
      <c r="A233" s="31"/>
      <c r="B233" s="15"/>
      <c r="C233" s="15"/>
      <c r="D233" s="15"/>
      <c r="E233" s="15"/>
      <c r="F233" s="15"/>
      <c r="G233" s="15"/>
      <c r="H233" s="15"/>
      <c r="I233" s="15"/>
      <c r="J233" s="15"/>
      <c r="K233" s="15"/>
      <c r="L233" s="15"/>
      <c r="M233" s="15"/>
    </row>
    <row r="234" spans="1:13" ht="12.75">
      <c r="A234" s="31"/>
      <c r="B234" s="15"/>
      <c r="C234" s="15"/>
      <c r="D234" s="15"/>
      <c r="E234" s="15"/>
      <c r="F234" s="15"/>
      <c r="G234" s="15"/>
      <c r="H234" s="15"/>
      <c r="I234" s="15"/>
      <c r="J234" s="15"/>
      <c r="K234" s="15"/>
      <c r="L234" s="15"/>
      <c r="M234" s="15"/>
    </row>
    <row r="235" spans="1:13" ht="12.75">
      <c r="A235" s="31"/>
      <c r="B235" s="15"/>
      <c r="C235" s="15"/>
      <c r="D235" s="15"/>
      <c r="E235" s="15"/>
      <c r="F235" s="15"/>
      <c r="G235" s="15"/>
      <c r="H235" s="15"/>
      <c r="I235" s="15"/>
      <c r="J235" s="15"/>
      <c r="K235" s="15"/>
      <c r="L235" s="15"/>
      <c r="M235" s="15"/>
    </row>
    <row r="236" spans="1:13" ht="12.75">
      <c r="A236" s="31"/>
      <c r="B236" s="15"/>
      <c r="C236" s="15"/>
      <c r="D236" s="15"/>
      <c r="E236" s="15"/>
      <c r="F236" s="15"/>
      <c r="G236" s="15"/>
      <c r="H236" s="15"/>
      <c r="I236" s="15"/>
      <c r="J236" s="15"/>
      <c r="K236" s="15"/>
      <c r="L236" s="15"/>
      <c r="M236" s="15"/>
    </row>
    <row r="237" spans="1:13" ht="12.75">
      <c r="A237" s="31"/>
      <c r="B237" s="15"/>
      <c r="C237" s="15"/>
      <c r="D237" s="15"/>
      <c r="E237" s="15"/>
      <c r="F237" s="15"/>
      <c r="G237" s="15"/>
      <c r="H237" s="15"/>
      <c r="I237" s="15"/>
      <c r="J237" s="15"/>
      <c r="K237" s="15"/>
      <c r="L237" s="15"/>
      <c r="M237" s="15"/>
    </row>
    <row r="238" spans="1:13" ht="12.75">
      <c r="A238" s="31"/>
      <c r="B238" s="15"/>
      <c r="C238" s="15"/>
      <c r="D238" s="15"/>
      <c r="E238" s="15"/>
      <c r="F238" s="15"/>
      <c r="G238" s="15"/>
      <c r="H238" s="15"/>
      <c r="I238" s="15"/>
      <c r="J238" s="15"/>
      <c r="K238" s="15"/>
      <c r="L238" s="15"/>
      <c r="M238" s="15"/>
    </row>
    <row r="239" spans="1:13" ht="12.75">
      <c r="A239" s="31"/>
      <c r="B239" s="15"/>
      <c r="C239" s="15"/>
      <c r="D239" s="15"/>
      <c r="E239" s="15"/>
      <c r="F239" s="15"/>
      <c r="G239" s="15"/>
      <c r="H239" s="15"/>
      <c r="I239" s="15"/>
      <c r="J239" s="15"/>
      <c r="K239" s="15"/>
      <c r="L239" s="15"/>
      <c r="M239" s="15"/>
    </row>
    <row r="240" spans="1:13" ht="12.75">
      <c r="A240" s="31"/>
      <c r="B240" s="15"/>
      <c r="C240" s="15"/>
      <c r="D240" s="15"/>
      <c r="E240" s="15"/>
      <c r="F240" s="15"/>
      <c r="G240" s="15"/>
      <c r="H240" s="15"/>
      <c r="I240" s="15"/>
      <c r="J240" s="15"/>
      <c r="K240" s="15"/>
      <c r="L240" s="15"/>
      <c r="M240" s="15"/>
    </row>
    <row r="241" spans="1:13" ht="12.75">
      <c r="A241" s="31"/>
      <c r="B241" s="15"/>
      <c r="C241" s="15"/>
      <c r="D241" s="15"/>
      <c r="E241" s="15"/>
      <c r="F241" s="15"/>
      <c r="G241" s="15"/>
      <c r="H241" s="15"/>
      <c r="I241" s="15"/>
      <c r="J241" s="15"/>
      <c r="K241" s="15"/>
      <c r="L241" s="15"/>
      <c r="M241" s="15"/>
    </row>
    <row r="242" spans="1:13" ht="12.75">
      <c r="A242" s="31"/>
      <c r="B242" s="15"/>
      <c r="C242" s="15"/>
      <c r="D242" s="15"/>
      <c r="E242" s="15"/>
      <c r="F242" s="15"/>
      <c r="G242" s="15"/>
      <c r="H242" s="15"/>
      <c r="I242" s="15"/>
      <c r="J242" s="15"/>
      <c r="K242" s="15"/>
      <c r="L242" s="15"/>
      <c r="M242" s="15"/>
    </row>
    <row r="243" spans="1:13" ht="12.75">
      <c r="A243" s="31"/>
      <c r="B243" s="15"/>
      <c r="C243" s="15"/>
      <c r="D243" s="15"/>
      <c r="E243" s="15"/>
      <c r="F243" s="15"/>
      <c r="G243" s="15"/>
      <c r="H243" s="15"/>
      <c r="I243" s="15"/>
      <c r="J243" s="15"/>
      <c r="K243" s="15"/>
      <c r="L243" s="15"/>
      <c r="M243" s="15"/>
    </row>
    <row r="244" spans="1:13" ht="12.75">
      <c r="A244" s="31"/>
      <c r="B244" s="15"/>
      <c r="C244" s="15"/>
      <c r="D244" s="15"/>
      <c r="E244" s="15"/>
      <c r="F244" s="15"/>
      <c r="G244" s="15"/>
      <c r="H244" s="15"/>
      <c r="I244" s="15"/>
      <c r="J244" s="15"/>
      <c r="K244" s="15"/>
      <c r="L244" s="15"/>
      <c r="M244" s="15"/>
    </row>
    <row r="245" spans="1:13" ht="12.75">
      <c r="A245" s="31"/>
      <c r="B245" s="15"/>
      <c r="C245" s="15"/>
      <c r="D245" s="15"/>
      <c r="E245" s="15"/>
      <c r="F245" s="15"/>
      <c r="G245" s="15"/>
      <c r="H245" s="15"/>
      <c r="I245" s="15"/>
      <c r="J245" s="15"/>
      <c r="K245" s="15"/>
      <c r="L245" s="15"/>
      <c r="M245" s="15"/>
    </row>
    <row r="246" spans="1:13" ht="12.75">
      <c r="A246" s="31"/>
      <c r="B246" s="15"/>
      <c r="C246" s="15"/>
      <c r="D246" s="15"/>
      <c r="E246" s="15"/>
      <c r="F246" s="15"/>
      <c r="G246" s="15"/>
      <c r="H246" s="15"/>
      <c r="I246" s="15"/>
      <c r="J246" s="15"/>
      <c r="K246" s="15"/>
      <c r="L246" s="15"/>
      <c r="M246" s="15"/>
    </row>
    <row r="247" spans="1:13" ht="12.75">
      <c r="A247" s="31"/>
      <c r="B247" s="15"/>
      <c r="C247" s="15"/>
      <c r="D247" s="15"/>
      <c r="E247" s="15"/>
      <c r="F247" s="15"/>
      <c r="G247" s="15"/>
      <c r="H247" s="15"/>
      <c r="I247" s="15"/>
      <c r="J247" s="15"/>
      <c r="K247" s="15"/>
      <c r="L247" s="15"/>
      <c r="M247" s="15"/>
    </row>
    <row r="248" spans="1:13" ht="12.75">
      <c r="A248" s="31"/>
      <c r="B248" s="15"/>
      <c r="C248" s="15"/>
      <c r="D248" s="15"/>
      <c r="E248" s="15"/>
      <c r="F248" s="15"/>
      <c r="G248" s="15"/>
      <c r="H248" s="15"/>
      <c r="I248" s="15"/>
      <c r="J248" s="15"/>
      <c r="K248" s="15"/>
      <c r="L248" s="15"/>
      <c r="M248" s="15"/>
    </row>
    <row r="249" spans="1:13" ht="12.75">
      <c r="A249" s="31"/>
      <c r="B249" s="15"/>
      <c r="C249" s="15"/>
      <c r="D249" s="15"/>
      <c r="E249" s="15"/>
      <c r="F249" s="15"/>
      <c r="G249" s="15"/>
      <c r="H249" s="15"/>
      <c r="I249" s="15"/>
      <c r="J249" s="15"/>
      <c r="K249" s="15"/>
      <c r="L249" s="15"/>
      <c r="M249" s="15"/>
    </row>
    <row r="250" spans="1:13" ht="12.75">
      <c r="A250" s="31"/>
      <c r="B250" s="15"/>
      <c r="C250" s="15"/>
      <c r="D250" s="15"/>
      <c r="E250" s="15"/>
      <c r="F250" s="15"/>
      <c r="G250" s="15"/>
      <c r="H250" s="15"/>
      <c r="I250" s="15"/>
      <c r="J250" s="15"/>
      <c r="K250" s="15"/>
      <c r="L250" s="15"/>
      <c r="M250" s="15"/>
    </row>
    <row r="251" spans="1:13" ht="12.75">
      <c r="A251" s="31"/>
      <c r="B251" s="15"/>
      <c r="C251" s="15"/>
      <c r="D251" s="15"/>
      <c r="E251" s="15"/>
      <c r="F251" s="15"/>
      <c r="G251" s="15"/>
      <c r="H251" s="15"/>
      <c r="I251" s="15"/>
      <c r="J251" s="15"/>
      <c r="K251" s="15"/>
      <c r="L251" s="15"/>
      <c r="M251" s="15"/>
    </row>
    <row r="252" spans="1:13" ht="12.75">
      <c r="A252" s="31"/>
      <c r="B252" s="15"/>
      <c r="C252" s="15"/>
      <c r="D252" s="15"/>
      <c r="E252" s="15"/>
      <c r="F252" s="15"/>
      <c r="G252" s="15"/>
      <c r="H252" s="15"/>
      <c r="I252" s="15"/>
      <c r="J252" s="15"/>
      <c r="K252" s="15"/>
      <c r="L252" s="15"/>
      <c r="M252" s="15"/>
    </row>
    <row r="253" spans="1:13" ht="12.75">
      <c r="A253" s="31"/>
      <c r="B253" s="15"/>
      <c r="C253" s="15"/>
      <c r="D253" s="15"/>
      <c r="E253" s="15"/>
      <c r="F253" s="15"/>
      <c r="G253" s="15"/>
      <c r="H253" s="15"/>
      <c r="I253" s="15"/>
      <c r="J253" s="15"/>
      <c r="K253" s="15"/>
      <c r="L253" s="15"/>
      <c r="M253" s="15"/>
    </row>
    <row r="254" spans="1:13" ht="12.75">
      <c r="A254" s="31"/>
      <c r="B254" s="15"/>
      <c r="C254" s="15"/>
      <c r="D254" s="15"/>
      <c r="E254" s="15"/>
      <c r="F254" s="15"/>
      <c r="G254" s="15"/>
      <c r="H254" s="15"/>
      <c r="I254" s="15"/>
      <c r="J254" s="15"/>
      <c r="K254" s="15"/>
      <c r="L254" s="15"/>
      <c r="M254" s="15"/>
    </row>
    <row r="255" spans="1:13" ht="12.75">
      <c r="A255" s="31"/>
      <c r="B255" s="15"/>
      <c r="C255" s="15"/>
      <c r="D255" s="15"/>
      <c r="E255" s="15"/>
      <c r="F255" s="15"/>
      <c r="G255" s="15"/>
      <c r="H255" s="15"/>
      <c r="I255" s="15"/>
      <c r="J255" s="15"/>
      <c r="K255" s="15"/>
      <c r="L255" s="15"/>
      <c r="M255" s="15"/>
    </row>
    <row r="256" spans="1:13" ht="12.75">
      <c r="A256" s="31"/>
      <c r="B256" s="15"/>
      <c r="C256" s="15"/>
      <c r="D256" s="15"/>
      <c r="E256" s="15"/>
      <c r="F256" s="15"/>
      <c r="G256" s="15"/>
      <c r="H256" s="15"/>
      <c r="I256" s="15"/>
      <c r="J256" s="15"/>
      <c r="K256" s="15"/>
      <c r="L256" s="15"/>
      <c r="M256" s="15"/>
    </row>
    <row r="257" spans="1:13" ht="12.75">
      <c r="A257" s="31"/>
      <c r="B257" s="15"/>
      <c r="C257" s="15"/>
      <c r="D257" s="15"/>
      <c r="E257" s="15"/>
      <c r="F257" s="15"/>
      <c r="G257" s="15"/>
      <c r="H257" s="15"/>
      <c r="I257" s="15"/>
      <c r="J257" s="15"/>
      <c r="K257" s="15"/>
      <c r="L257" s="15"/>
      <c r="M257" s="15"/>
    </row>
    <row r="258" spans="1:13" ht="12.75">
      <c r="A258" s="31"/>
      <c r="B258" s="15"/>
      <c r="C258" s="15"/>
      <c r="D258" s="15"/>
      <c r="E258" s="15"/>
      <c r="F258" s="15"/>
      <c r="G258" s="15"/>
      <c r="H258" s="15"/>
      <c r="I258" s="15"/>
      <c r="J258" s="15"/>
      <c r="K258" s="15"/>
      <c r="L258" s="15"/>
      <c r="M258" s="15"/>
    </row>
    <row r="259" spans="1:13" ht="12.75">
      <c r="A259" s="31"/>
      <c r="B259" s="15"/>
      <c r="C259" s="15"/>
      <c r="D259" s="15"/>
      <c r="E259" s="15"/>
      <c r="F259" s="15"/>
      <c r="G259" s="15"/>
      <c r="H259" s="15"/>
      <c r="I259" s="15"/>
      <c r="J259" s="15"/>
      <c r="K259" s="15"/>
      <c r="L259" s="15"/>
      <c r="M259" s="15"/>
    </row>
    <row r="260" spans="1:13" ht="12.75">
      <c r="A260" s="31"/>
      <c r="B260" s="15"/>
      <c r="C260" s="15"/>
      <c r="D260" s="15"/>
      <c r="E260" s="15"/>
      <c r="F260" s="15"/>
      <c r="G260" s="15"/>
      <c r="H260" s="15"/>
      <c r="I260" s="15"/>
      <c r="J260" s="15"/>
      <c r="K260" s="15"/>
      <c r="L260" s="15"/>
      <c r="M260" s="15"/>
    </row>
    <row r="261" spans="1:13" ht="12.75">
      <c r="A261" s="31"/>
      <c r="B261" s="15"/>
      <c r="C261" s="15"/>
      <c r="D261" s="15"/>
      <c r="E261" s="15"/>
      <c r="F261" s="15"/>
      <c r="G261" s="15"/>
      <c r="H261" s="15"/>
      <c r="I261" s="15"/>
      <c r="J261" s="15"/>
      <c r="K261" s="15"/>
      <c r="L261" s="15"/>
      <c r="M261" s="15"/>
    </row>
    <row r="262" spans="1:13" ht="12.75">
      <c r="A262" s="31"/>
      <c r="B262" s="15"/>
      <c r="C262" s="15"/>
      <c r="D262" s="15"/>
      <c r="E262" s="15"/>
      <c r="F262" s="15"/>
      <c r="G262" s="15"/>
      <c r="H262" s="15"/>
      <c r="I262" s="15"/>
      <c r="J262" s="15"/>
      <c r="K262" s="15"/>
      <c r="L262" s="15"/>
      <c r="M262" s="15"/>
    </row>
    <row r="263" spans="1:13" ht="12.75">
      <c r="A263" s="31"/>
      <c r="B263" s="15"/>
      <c r="C263" s="15"/>
      <c r="D263" s="15"/>
      <c r="E263" s="15"/>
      <c r="F263" s="15"/>
      <c r="G263" s="15"/>
      <c r="H263" s="15"/>
      <c r="I263" s="15"/>
      <c r="J263" s="15"/>
      <c r="K263" s="15"/>
      <c r="L263" s="15"/>
      <c r="M263" s="15"/>
    </row>
    <row r="264" spans="1:13" ht="12.75">
      <c r="A264" s="31"/>
      <c r="B264" s="15"/>
      <c r="C264" s="15"/>
      <c r="D264" s="15"/>
      <c r="E264" s="15"/>
      <c r="F264" s="15"/>
      <c r="G264" s="15"/>
      <c r="H264" s="15"/>
      <c r="I264" s="15"/>
      <c r="J264" s="15"/>
      <c r="K264" s="15"/>
      <c r="L264" s="15"/>
      <c r="M264" s="15"/>
    </row>
    <row r="265" spans="1:13" ht="12.75">
      <c r="A265" s="31"/>
      <c r="B265" s="15"/>
      <c r="C265" s="15"/>
      <c r="D265" s="15"/>
      <c r="E265" s="15"/>
      <c r="F265" s="15"/>
      <c r="G265" s="15"/>
      <c r="H265" s="15"/>
      <c r="I265" s="15"/>
      <c r="J265" s="15"/>
      <c r="K265" s="15"/>
      <c r="L265" s="15"/>
      <c r="M265" s="15"/>
    </row>
    <row r="266" spans="1:13" ht="12.75">
      <c r="A266" s="31"/>
      <c r="B266" s="15"/>
      <c r="C266" s="15"/>
      <c r="D266" s="15"/>
      <c r="E266" s="15"/>
      <c r="F266" s="15"/>
      <c r="G266" s="15"/>
      <c r="H266" s="15"/>
      <c r="I266" s="15"/>
      <c r="J266" s="15"/>
      <c r="K266" s="15"/>
      <c r="L266" s="15"/>
      <c r="M266" s="15"/>
    </row>
    <row r="267" spans="1:13" ht="12.75">
      <c r="A267" s="31"/>
      <c r="B267" s="15"/>
      <c r="C267" s="15"/>
      <c r="D267" s="15"/>
      <c r="E267" s="15"/>
      <c r="F267" s="15"/>
      <c r="G267" s="15"/>
      <c r="H267" s="15"/>
      <c r="I267" s="15"/>
      <c r="J267" s="15"/>
      <c r="K267" s="15"/>
      <c r="L267" s="15"/>
      <c r="M267" s="15"/>
    </row>
    <row r="268" spans="1:13" ht="12.75">
      <c r="A268" s="31"/>
      <c r="B268" s="15"/>
      <c r="C268" s="15"/>
      <c r="D268" s="15"/>
      <c r="E268" s="15"/>
      <c r="F268" s="15"/>
      <c r="G268" s="15"/>
      <c r="H268" s="15"/>
      <c r="I268" s="15"/>
      <c r="J268" s="15"/>
      <c r="K268" s="15"/>
      <c r="L268" s="15"/>
      <c r="M268" s="15"/>
    </row>
    <row r="269" spans="1:13" ht="12.75">
      <c r="A269" s="31"/>
      <c r="B269" s="15"/>
      <c r="C269" s="15"/>
      <c r="D269" s="15"/>
      <c r="E269" s="15"/>
      <c r="F269" s="15"/>
      <c r="G269" s="15"/>
      <c r="H269" s="15"/>
      <c r="I269" s="15"/>
      <c r="J269" s="15"/>
      <c r="K269" s="15"/>
      <c r="L269" s="15"/>
      <c r="M269" s="15"/>
    </row>
    <row r="270" spans="1:13" ht="12.75">
      <c r="A270" s="31"/>
      <c r="B270" s="15"/>
      <c r="C270" s="15"/>
      <c r="D270" s="15"/>
      <c r="E270" s="15"/>
      <c r="F270" s="15"/>
      <c r="G270" s="15"/>
      <c r="H270" s="15"/>
      <c r="I270" s="15"/>
      <c r="J270" s="15"/>
      <c r="K270" s="15"/>
      <c r="L270" s="15"/>
      <c r="M270" s="15"/>
    </row>
    <row r="271" spans="1:13" ht="12.75">
      <c r="A271" s="31"/>
      <c r="B271" s="15"/>
      <c r="C271" s="15"/>
      <c r="D271" s="15"/>
      <c r="E271" s="15"/>
      <c r="F271" s="15"/>
      <c r="G271" s="15"/>
      <c r="H271" s="15"/>
      <c r="I271" s="15"/>
      <c r="J271" s="15"/>
      <c r="K271" s="15"/>
      <c r="L271" s="15"/>
      <c r="M271" s="15"/>
    </row>
    <row r="272" spans="1:13" ht="12.75">
      <c r="A272" s="31"/>
      <c r="B272" s="15"/>
      <c r="C272" s="15"/>
      <c r="D272" s="15"/>
      <c r="E272" s="15"/>
      <c r="F272" s="15"/>
      <c r="G272" s="15"/>
      <c r="H272" s="15"/>
      <c r="I272" s="15"/>
      <c r="J272" s="15"/>
      <c r="K272" s="15"/>
      <c r="L272" s="15"/>
      <c r="M272" s="15"/>
    </row>
    <row r="273" spans="1:13" ht="12.75">
      <c r="A273" s="31"/>
      <c r="B273" s="15"/>
      <c r="C273" s="15"/>
      <c r="D273" s="15"/>
      <c r="E273" s="15"/>
      <c r="F273" s="15"/>
      <c r="G273" s="15"/>
      <c r="H273" s="15"/>
      <c r="I273" s="15"/>
      <c r="J273" s="15"/>
      <c r="K273" s="15"/>
      <c r="L273" s="15"/>
      <c r="M273" s="15"/>
    </row>
    <row r="274" spans="1:13" ht="12.75">
      <c r="A274" s="31"/>
      <c r="B274" s="15"/>
      <c r="C274" s="15"/>
      <c r="D274" s="15"/>
      <c r="E274" s="15"/>
      <c r="F274" s="15"/>
      <c r="G274" s="15"/>
      <c r="H274" s="15"/>
      <c r="I274" s="15"/>
      <c r="J274" s="15"/>
      <c r="K274" s="15"/>
      <c r="L274" s="15"/>
      <c r="M274" s="15"/>
    </row>
    <row r="275" spans="1:13" ht="12.75">
      <c r="A275" s="31"/>
      <c r="B275" s="15"/>
      <c r="C275" s="15"/>
      <c r="D275" s="15"/>
      <c r="E275" s="15"/>
      <c r="F275" s="15"/>
      <c r="G275" s="15"/>
      <c r="H275" s="15"/>
      <c r="I275" s="15"/>
      <c r="J275" s="15"/>
      <c r="K275" s="15"/>
      <c r="L275" s="15"/>
      <c r="M275" s="15"/>
    </row>
    <row r="276" spans="1:13" ht="12.75">
      <c r="A276" s="31"/>
      <c r="B276" s="15"/>
      <c r="C276" s="15"/>
      <c r="D276" s="15"/>
      <c r="E276" s="15"/>
      <c r="F276" s="15"/>
      <c r="G276" s="15"/>
      <c r="H276" s="15"/>
      <c r="I276" s="15"/>
      <c r="J276" s="15"/>
      <c r="K276" s="15"/>
      <c r="L276" s="15"/>
      <c r="M276" s="15"/>
    </row>
    <row r="277" spans="1:13" ht="12.75">
      <c r="A277" s="31"/>
      <c r="B277" s="15"/>
      <c r="C277" s="15"/>
      <c r="D277" s="15"/>
      <c r="E277" s="15"/>
      <c r="F277" s="15"/>
      <c r="G277" s="15"/>
      <c r="H277" s="15"/>
      <c r="I277" s="15"/>
      <c r="J277" s="15"/>
      <c r="K277" s="15"/>
      <c r="L277" s="15"/>
      <c r="M277" s="15"/>
    </row>
    <row r="278" spans="1:13" ht="12.75">
      <c r="A278" s="31"/>
      <c r="B278" s="15"/>
      <c r="C278" s="15"/>
      <c r="D278" s="15"/>
      <c r="E278" s="15"/>
      <c r="F278" s="15"/>
      <c r="G278" s="15"/>
      <c r="H278" s="15"/>
      <c r="I278" s="15"/>
      <c r="J278" s="15"/>
      <c r="K278" s="15"/>
      <c r="L278" s="15"/>
      <c r="M278" s="15"/>
    </row>
    <row r="279" spans="1:13" ht="12.75">
      <c r="A279" s="31"/>
      <c r="B279" s="15"/>
      <c r="C279" s="15"/>
      <c r="D279" s="15"/>
      <c r="E279" s="15"/>
      <c r="F279" s="15"/>
      <c r="G279" s="15"/>
      <c r="H279" s="15"/>
      <c r="I279" s="15"/>
      <c r="J279" s="15"/>
      <c r="K279" s="15"/>
      <c r="L279" s="15"/>
      <c r="M279" s="15"/>
    </row>
    <row r="280" spans="1:13" ht="12.75">
      <c r="A280" s="31"/>
      <c r="B280" s="15"/>
      <c r="C280" s="15"/>
      <c r="D280" s="15"/>
      <c r="E280" s="15"/>
      <c r="F280" s="15"/>
      <c r="G280" s="15"/>
      <c r="H280" s="15"/>
      <c r="I280" s="15"/>
      <c r="J280" s="15"/>
      <c r="K280" s="15"/>
      <c r="L280" s="15"/>
      <c r="M280" s="15"/>
    </row>
    <row r="281" spans="1:13" ht="12.75">
      <c r="A281" s="31"/>
      <c r="B281" s="15"/>
      <c r="C281" s="15"/>
      <c r="D281" s="15"/>
      <c r="E281" s="15"/>
      <c r="F281" s="15"/>
      <c r="G281" s="15"/>
      <c r="H281" s="15"/>
      <c r="I281" s="15"/>
      <c r="J281" s="15"/>
      <c r="K281" s="15"/>
      <c r="L281" s="15"/>
      <c r="M281" s="15"/>
    </row>
    <row r="282" spans="1:13" ht="12.75">
      <c r="A282" s="31"/>
      <c r="B282" s="15"/>
      <c r="C282" s="15"/>
      <c r="D282" s="15"/>
      <c r="E282" s="15"/>
      <c r="F282" s="15"/>
      <c r="G282" s="15"/>
      <c r="H282" s="15"/>
      <c r="I282" s="15"/>
      <c r="J282" s="15"/>
      <c r="K282" s="15"/>
      <c r="L282" s="15"/>
      <c r="M282" s="15"/>
    </row>
    <row r="283" spans="1:13" ht="12.75">
      <c r="A283" s="31"/>
      <c r="B283" s="15"/>
      <c r="C283" s="15"/>
      <c r="D283" s="15"/>
      <c r="E283" s="15"/>
      <c r="F283" s="15"/>
      <c r="G283" s="15"/>
      <c r="H283" s="15"/>
      <c r="I283" s="15"/>
      <c r="J283" s="15"/>
      <c r="K283" s="15"/>
      <c r="L283" s="15"/>
      <c r="M283" s="15"/>
    </row>
    <row r="284" spans="1:13" ht="12.75">
      <c r="A284" s="31"/>
      <c r="B284" s="15"/>
      <c r="C284" s="15"/>
      <c r="D284" s="15"/>
      <c r="E284" s="15"/>
      <c r="F284" s="15"/>
      <c r="G284" s="15"/>
      <c r="H284" s="15"/>
      <c r="I284" s="15"/>
      <c r="J284" s="15"/>
      <c r="K284" s="15"/>
      <c r="L284" s="15"/>
      <c r="M284" s="15"/>
    </row>
    <row r="285" spans="1:13" ht="12.75">
      <c r="A285" s="31"/>
      <c r="B285" s="15"/>
      <c r="C285" s="15"/>
      <c r="D285" s="15"/>
      <c r="E285" s="15"/>
      <c r="F285" s="15"/>
      <c r="G285" s="15"/>
      <c r="H285" s="15"/>
      <c r="I285" s="15"/>
      <c r="J285" s="15"/>
      <c r="K285" s="15"/>
      <c r="L285" s="15"/>
      <c r="M285" s="15"/>
    </row>
    <row r="286" spans="1:13" ht="12.75">
      <c r="A286" s="31"/>
      <c r="B286" s="15"/>
      <c r="C286" s="15"/>
      <c r="D286" s="15"/>
      <c r="E286" s="15"/>
      <c r="F286" s="15"/>
      <c r="G286" s="15"/>
      <c r="H286" s="15"/>
      <c r="I286" s="15"/>
      <c r="J286" s="15"/>
      <c r="K286" s="15"/>
      <c r="L286" s="15"/>
      <c r="M286" s="15"/>
    </row>
    <row r="287" spans="1:13" ht="12.75">
      <c r="A287" s="31"/>
      <c r="B287" s="15"/>
      <c r="C287" s="15"/>
      <c r="D287" s="15"/>
      <c r="E287" s="15"/>
      <c r="F287" s="15"/>
      <c r="G287" s="15"/>
      <c r="H287" s="15"/>
      <c r="I287" s="15"/>
      <c r="J287" s="15"/>
      <c r="K287" s="15"/>
      <c r="L287" s="15"/>
      <c r="M287" s="15"/>
    </row>
    <row r="288" spans="1:13" ht="12.75">
      <c r="A288" s="31"/>
      <c r="B288" s="15"/>
      <c r="C288" s="15"/>
      <c r="D288" s="15"/>
      <c r="E288" s="15"/>
      <c r="F288" s="15"/>
      <c r="G288" s="15"/>
      <c r="H288" s="15"/>
      <c r="I288" s="15"/>
      <c r="J288" s="15"/>
      <c r="K288" s="15"/>
      <c r="L288" s="15"/>
      <c r="M288" s="15"/>
    </row>
    <row r="289" spans="1:13" ht="12.75">
      <c r="A289" s="31"/>
      <c r="B289" s="15"/>
      <c r="C289" s="15"/>
      <c r="D289" s="15"/>
      <c r="E289" s="15"/>
      <c r="F289" s="15"/>
      <c r="G289" s="15"/>
      <c r="H289" s="15"/>
      <c r="I289" s="15"/>
      <c r="J289" s="15"/>
      <c r="K289" s="15"/>
      <c r="L289" s="15"/>
      <c r="M289" s="15"/>
    </row>
    <row r="290" spans="1:13" ht="12.75">
      <c r="A290" s="31"/>
      <c r="B290" s="15"/>
      <c r="C290" s="15"/>
      <c r="D290" s="15"/>
      <c r="E290" s="15"/>
      <c r="F290" s="15"/>
      <c r="G290" s="15"/>
      <c r="H290" s="15"/>
      <c r="I290" s="15"/>
      <c r="J290" s="15"/>
      <c r="K290" s="15"/>
      <c r="L290" s="15"/>
      <c r="M290" s="15"/>
    </row>
    <row r="291" spans="1:13" ht="12.75">
      <c r="A291" s="31"/>
      <c r="B291" s="15"/>
      <c r="C291" s="15"/>
      <c r="D291" s="15"/>
      <c r="E291" s="15"/>
      <c r="F291" s="15"/>
      <c r="G291" s="15"/>
      <c r="H291" s="15"/>
      <c r="I291" s="15"/>
      <c r="J291" s="15"/>
      <c r="K291" s="15"/>
      <c r="L291" s="15"/>
      <c r="M291" s="15"/>
    </row>
    <row r="292" spans="1:13" ht="12.75">
      <c r="A292" s="31"/>
      <c r="B292" s="15"/>
      <c r="C292" s="15"/>
      <c r="D292" s="15"/>
      <c r="E292" s="15"/>
      <c r="F292" s="15"/>
      <c r="G292" s="15"/>
      <c r="H292" s="15"/>
      <c r="I292" s="15"/>
      <c r="J292" s="15"/>
      <c r="K292" s="15"/>
      <c r="L292" s="15"/>
      <c r="M292" s="15"/>
    </row>
    <row r="293" spans="1:13" ht="12.75">
      <c r="A293" s="31"/>
      <c r="B293" s="15"/>
      <c r="C293" s="15"/>
      <c r="D293" s="15"/>
      <c r="E293" s="15"/>
      <c r="F293" s="15"/>
      <c r="G293" s="15"/>
      <c r="H293" s="15"/>
      <c r="I293" s="15"/>
      <c r="J293" s="15"/>
      <c r="K293" s="15"/>
      <c r="L293" s="15"/>
      <c r="M293" s="15"/>
    </row>
    <row r="294" spans="1:13" ht="12.75">
      <c r="A294" s="31"/>
      <c r="B294" s="15"/>
      <c r="C294" s="15"/>
      <c r="D294" s="15"/>
      <c r="E294" s="15"/>
      <c r="F294" s="15"/>
      <c r="G294" s="15"/>
      <c r="H294" s="15"/>
      <c r="I294" s="15"/>
      <c r="J294" s="15"/>
      <c r="K294" s="15"/>
      <c r="L294" s="15"/>
      <c r="M294" s="15"/>
    </row>
    <row r="295" spans="1:13" ht="12.75">
      <c r="A295" s="31"/>
      <c r="B295" s="15"/>
      <c r="C295" s="15"/>
      <c r="D295" s="15"/>
      <c r="E295" s="15"/>
      <c r="F295" s="15"/>
      <c r="G295" s="15"/>
      <c r="H295" s="15"/>
      <c r="I295" s="15"/>
      <c r="J295" s="15"/>
      <c r="K295" s="15"/>
      <c r="L295" s="15"/>
      <c r="M295" s="15"/>
    </row>
    <row r="296" spans="1:13" ht="12.75">
      <c r="A296" s="31"/>
      <c r="B296" s="15"/>
      <c r="C296" s="15"/>
      <c r="D296" s="15"/>
      <c r="E296" s="15"/>
      <c r="F296" s="15"/>
      <c r="G296" s="15"/>
      <c r="H296" s="15"/>
      <c r="I296" s="15"/>
      <c r="J296" s="15"/>
      <c r="K296" s="15"/>
      <c r="L296" s="15"/>
      <c r="M296" s="15"/>
    </row>
    <row r="297" spans="1:13" ht="12.75">
      <c r="A297" s="31"/>
      <c r="B297" s="15"/>
      <c r="C297" s="15"/>
      <c r="D297" s="15"/>
      <c r="E297" s="15"/>
      <c r="F297" s="15"/>
      <c r="G297" s="15"/>
      <c r="H297" s="15"/>
      <c r="I297" s="15"/>
      <c r="J297" s="15"/>
      <c r="K297" s="15"/>
      <c r="L297" s="15"/>
      <c r="M297" s="15"/>
    </row>
    <row r="298" spans="1:13" ht="12.75">
      <c r="A298" s="31"/>
      <c r="B298" s="15"/>
      <c r="C298" s="15"/>
      <c r="D298" s="15"/>
      <c r="E298" s="15"/>
      <c r="F298" s="15"/>
      <c r="G298" s="15"/>
      <c r="H298" s="15"/>
      <c r="I298" s="15"/>
      <c r="J298" s="15"/>
      <c r="K298" s="15"/>
      <c r="L298" s="15"/>
      <c r="M298" s="15"/>
    </row>
    <row r="299" spans="1:13" ht="12.75">
      <c r="A299" s="31"/>
      <c r="B299" s="15"/>
      <c r="C299" s="15"/>
      <c r="D299" s="15"/>
      <c r="E299" s="15"/>
      <c r="F299" s="15"/>
      <c r="G299" s="15"/>
      <c r="H299" s="15"/>
      <c r="I299" s="15"/>
      <c r="J299" s="15"/>
      <c r="K299" s="15"/>
      <c r="L299" s="15"/>
      <c r="M299" s="15"/>
    </row>
    <row r="300" spans="1:13" ht="12.75">
      <c r="A300" s="31"/>
      <c r="B300" s="15"/>
      <c r="C300" s="15"/>
      <c r="D300" s="15"/>
      <c r="E300" s="15"/>
      <c r="F300" s="15"/>
      <c r="G300" s="15"/>
      <c r="H300" s="15"/>
      <c r="I300" s="15"/>
      <c r="J300" s="15"/>
      <c r="K300" s="15"/>
      <c r="L300" s="15"/>
      <c r="M300" s="15"/>
    </row>
    <row r="301" spans="1:13" ht="12.75">
      <c r="A301" s="31"/>
      <c r="B301" s="15"/>
      <c r="C301" s="15"/>
      <c r="D301" s="15"/>
      <c r="E301" s="15"/>
      <c r="F301" s="15"/>
      <c r="G301" s="15"/>
      <c r="H301" s="15"/>
      <c r="I301" s="15"/>
      <c r="J301" s="15"/>
      <c r="K301" s="15"/>
      <c r="L301" s="15"/>
      <c r="M301" s="15"/>
    </row>
    <row r="302" spans="1:13" ht="12.75">
      <c r="A302" s="31"/>
      <c r="B302" s="15"/>
      <c r="C302" s="15"/>
      <c r="D302" s="15"/>
      <c r="E302" s="15"/>
      <c r="F302" s="15"/>
      <c r="G302" s="15"/>
      <c r="H302" s="15"/>
      <c r="I302" s="15"/>
      <c r="J302" s="15"/>
      <c r="K302" s="15"/>
      <c r="L302" s="15"/>
      <c r="M302" s="15"/>
    </row>
    <row r="303" spans="1:13" ht="12.75">
      <c r="A303" s="31"/>
      <c r="B303" s="15"/>
      <c r="C303" s="15"/>
      <c r="D303" s="15"/>
      <c r="E303" s="15"/>
      <c r="F303" s="15"/>
      <c r="G303" s="15"/>
      <c r="H303" s="15"/>
      <c r="I303" s="15"/>
      <c r="J303" s="15"/>
      <c r="K303" s="15"/>
      <c r="L303" s="15"/>
      <c r="M303" s="15"/>
    </row>
    <row r="304" spans="1:13" ht="12.75">
      <c r="A304" s="31"/>
      <c r="B304" s="15"/>
      <c r="C304" s="15"/>
      <c r="D304" s="15"/>
      <c r="E304" s="15"/>
      <c r="F304" s="15"/>
      <c r="G304" s="15"/>
      <c r="H304" s="15"/>
      <c r="I304" s="15"/>
      <c r="J304" s="15"/>
      <c r="K304" s="15"/>
      <c r="L304" s="15"/>
      <c r="M304" s="15"/>
    </row>
    <row r="305" spans="1:13" ht="12.75">
      <c r="A305" s="31"/>
      <c r="B305" s="15"/>
      <c r="C305" s="15"/>
      <c r="D305" s="15"/>
      <c r="E305" s="15"/>
      <c r="F305" s="15"/>
      <c r="G305" s="15"/>
      <c r="H305" s="15"/>
      <c r="I305" s="15"/>
      <c r="J305" s="15"/>
      <c r="K305" s="15"/>
      <c r="L305" s="15"/>
      <c r="M305" s="15"/>
    </row>
    <row r="306" spans="1:13" ht="12.75">
      <c r="A306" s="31"/>
      <c r="B306" s="15"/>
      <c r="C306" s="15"/>
      <c r="D306" s="15"/>
      <c r="E306" s="15"/>
      <c r="F306" s="15"/>
      <c r="G306" s="15"/>
      <c r="H306" s="15"/>
      <c r="I306" s="15"/>
      <c r="J306" s="15"/>
      <c r="K306" s="15"/>
      <c r="L306" s="15"/>
      <c r="M306" s="15"/>
    </row>
    <row r="307" spans="1:13" ht="12.75">
      <c r="A307" s="31"/>
      <c r="B307" s="15"/>
      <c r="C307" s="15"/>
      <c r="D307" s="15"/>
      <c r="E307" s="15"/>
      <c r="F307" s="15"/>
      <c r="G307" s="15"/>
      <c r="H307" s="15"/>
      <c r="I307" s="15"/>
      <c r="J307" s="15"/>
      <c r="K307" s="15"/>
      <c r="L307" s="15"/>
      <c r="M307" s="15"/>
    </row>
    <row r="308" spans="1:13" ht="12.75">
      <c r="A308" s="31"/>
      <c r="B308" s="15"/>
      <c r="C308" s="15"/>
      <c r="D308" s="15"/>
      <c r="E308" s="15"/>
      <c r="F308" s="15"/>
      <c r="G308" s="15"/>
      <c r="H308" s="15"/>
      <c r="I308" s="15"/>
      <c r="J308" s="15"/>
      <c r="K308" s="15"/>
      <c r="L308" s="15"/>
      <c r="M308" s="15"/>
    </row>
    <row r="309" spans="1:13" ht="12.75">
      <c r="A309" s="31"/>
      <c r="B309" s="15"/>
      <c r="C309" s="15"/>
      <c r="D309" s="15"/>
      <c r="E309" s="15"/>
      <c r="F309" s="15"/>
      <c r="G309" s="15"/>
      <c r="H309" s="15"/>
      <c r="I309" s="15"/>
      <c r="J309" s="15"/>
      <c r="K309" s="15"/>
      <c r="L309" s="15"/>
      <c r="M309" s="15"/>
    </row>
    <row r="310" spans="1:13" ht="12.75">
      <c r="A310" s="31"/>
      <c r="B310" s="15"/>
      <c r="C310" s="15"/>
      <c r="D310" s="15"/>
      <c r="E310" s="15"/>
      <c r="F310" s="15"/>
      <c r="G310" s="15"/>
      <c r="H310" s="15"/>
      <c r="I310" s="15"/>
      <c r="J310" s="15"/>
      <c r="K310" s="15"/>
      <c r="L310" s="15"/>
      <c r="M310" s="15"/>
    </row>
    <row r="311" spans="1:13" ht="12.75">
      <c r="A311" s="31"/>
      <c r="B311" s="15"/>
      <c r="C311" s="15"/>
      <c r="D311" s="15"/>
      <c r="E311" s="15"/>
      <c r="F311" s="15"/>
      <c r="G311" s="15"/>
      <c r="H311" s="15"/>
      <c r="I311" s="15"/>
      <c r="J311" s="15"/>
      <c r="K311" s="15"/>
      <c r="L311" s="15"/>
      <c r="M311" s="15"/>
    </row>
    <row r="312" spans="1:13" ht="12.75">
      <c r="A312" s="31"/>
      <c r="B312" s="15"/>
      <c r="C312" s="15"/>
      <c r="D312" s="15"/>
      <c r="E312" s="15"/>
      <c r="F312" s="15"/>
      <c r="G312" s="15"/>
      <c r="H312" s="15"/>
      <c r="I312" s="15"/>
      <c r="J312" s="15"/>
      <c r="K312" s="15"/>
      <c r="L312" s="15"/>
      <c r="M312" s="15"/>
    </row>
    <row r="313" spans="1:13" ht="12.75">
      <c r="A313" s="31"/>
      <c r="B313" s="15"/>
      <c r="C313" s="15"/>
      <c r="D313" s="15"/>
      <c r="E313" s="15"/>
      <c r="F313" s="15"/>
      <c r="G313" s="15"/>
      <c r="H313" s="15"/>
      <c r="I313" s="15"/>
      <c r="J313" s="15"/>
      <c r="K313" s="15"/>
      <c r="L313" s="15"/>
      <c r="M313" s="15"/>
    </row>
    <row r="314" spans="1:13" ht="12.75">
      <c r="A314" s="31"/>
      <c r="B314" s="15"/>
      <c r="C314" s="15"/>
      <c r="D314" s="15"/>
      <c r="E314" s="15"/>
      <c r="F314" s="15"/>
      <c r="G314" s="15"/>
      <c r="H314" s="15"/>
      <c r="I314" s="15"/>
      <c r="J314" s="15"/>
      <c r="K314" s="15"/>
      <c r="L314" s="15"/>
      <c r="M314" s="15"/>
    </row>
    <row r="315" spans="1:13" ht="12.75">
      <c r="A315" s="31"/>
      <c r="B315" s="15"/>
      <c r="C315" s="15"/>
      <c r="D315" s="15"/>
      <c r="E315" s="15"/>
      <c r="F315" s="15"/>
      <c r="G315" s="15"/>
      <c r="H315" s="15"/>
      <c r="I315" s="15"/>
      <c r="J315" s="15"/>
      <c r="K315" s="15"/>
      <c r="L315" s="15"/>
      <c r="M315" s="15"/>
    </row>
    <row r="316" spans="1:13" ht="12.75">
      <c r="A316" s="31"/>
      <c r="B316" s="15"/>
      <c r="C316" s="15"/>
      <c r="D316" s="15"/>
      <c r="E316" s="15"/>
      <c r="F316" s="15"/>
      <c r="G316" s="15"/>
      <c r="H316" s="15"/>
      <c r="I316" s="15"/>
      <c r="J316" s="15"/>
      <c r="K316" s="15"/>
      <c r="L316" s="15"/>
      <c r="M316" s="15"/>
    </row>
    <row r="317" spans="1:13" ht="12.75">
      <c r="A317" s="31"/>
      <c r="B317" s="15"/>
      <c r="C317" s="15"/>
      <c r="D317" s="15"/>
      <c r="E317" s="15"/>
      <c r="F317" s="15"/>
      <c r="G317" s="15"/>
      <c r="H317" s="15"/>
      <c r="I317" s="15"/>
      <c r="J317" s="15"/>
      <c r="K317" s="15"/>
      <c r="L317" s="15"/>
      <c r="M317" s="15"/>
    </row>
    <row r="318" spans="1:13" ht="12.75">
      <c r="A318" s="31"/>
      <c r="B318" s="15"/>
      <c r="C318" s="15"/>
      <c r="D318" s="15"/>
      <c r="E318" s="15"/>
      <c r="F318" s="15"/>
      <c r="G318" s="15"/>
      <c r="H318" s="15"/>
      <c r="I318" s="15"/>
      <c r="J318" s="15"/>
      <c r="K318" s="15"/>
      <c r="L318" s="15"/>
      <c r="M318" s="15"/>
    </row>
    <row r="319" spans="1:13" ht="12.75">
      <c r="A319" s="31"/>
      <c r="B319" s="15"/>
      <c r="C319" s="15"/>
      <c r="D319" s="15"/>
      <c r="E319" s="15"/>
      <c r="F319" s="15"/>
      <c r="G319" s="15"/>
      <c r="H319" s="15"/>
      <c r="I319" s="15"/>
      <c r="J319" s="15"/>
      <c r="K319" s="15"/>
      <c r="L319" s="15"/>
      <c r="M319" s="15"/>
    </row>
    <row r="320" spans="1:13" ht="12.75">
      <c r="A320" s="31"/>
      <c r="B320" s="15"/>
      <c r="C320" s="15"/>
      <c r="D320" s="15"/>
      <c r="E320" s="15"/>
      <c r="F320" s="15"/>
      <c r="G320" s="15"/>
      <c r="H320" s="15"/>
      <c r="I320" s="15"/>
      <c r="J320" s="15"/>
      <c r="K320" s="15"/>
      <c r="L320" s="15"/>
      <c r="M320" s="15"/>
    </row>
    <row r="321" spans="1:13" ht="12.75">
      <c r="A321" s="31"/>
      <c r="B321" s="15"/>
      <c r="C321" s="15"/>
      <c r="D321" s="15"/>
      <c r="E321" s="15"/>
      <c r="F321" s="15"/>
      <c r="G321" s="15"/>
      <c r="H321" s="15"/>
      <c r="I321" s="15"/>
      <c r="J321" s="15"/>
      <c r="K321" s="15"/>
      <c r="L321" s="15"/>
      <c r="M321" s="15"/>
    </row>
    <row r="322" spans="1:13" ht="12.75">
      <c r="A322" s="31"/>
      <c r="B322" s="15"/>
      <c r="C322" s="15"/>
      <c r="D322" s="15"/>
      <c r="E322" s="15"/>
      <c r="F322" s="15"/>
      <c r="G322" s="15"/>
      <c r="H322" s="15"/>
      <c r="I322" s="15"/>
      <c r="J322" s="15"/>
      <c r="K322" s="15"/>
      <c r="L322" s="15"/>
      <c r="M322" s="15"/>
    </row>
    <row r="323" spans="1:13" ht="12.75">
      <c r="A323" s="31"/>
      <c r="B323" s="15"/>
      <c r="C323" s="15"/>
      <c r="D323" s="15"/>
      <c r="E323" s="15"/>
      <c r="F323" s="15"/>
      <c r="G323" s="15"/>
      <c r="H323" s="15"/>
      <c r="I323" s="15"/>
      <c r="J323" s="15"/>
      <c r="K323" s="15"/>
      <c r="L323" s="15"/>
      <c r="M323" s="15"/>
    </row>
    <row r="324" spans="1:13" ht="12.75">
      <c r="A324" s="31"/>
      <c r="B324" s="15"/>
      <c r="C324" s="15"/>
      <c r="D324" s="15"/>
      <c r="E324" s="15"/>
      <c r="F324" s="15"/>
      <c r="G324" s="15"/>
      <c r="H324" s="15"/>
      <c r="I324" s="15"/>
      <c r="J324" s="15"/>
      <c r="K324" s="15"/>
      <c r="L324" s="15"/>
      <c r="M324" s="15"/>
    </row>
    <row r="325" spans="1:13" ht="12.75">
      <c r="A325" s="31"/>
      <c r="B325" s="15"/>
      <c r="C325" s="15"/>
      <c r="D325" s="15"/>
      <c r="E325" s="15"/>
      <c r="F325" s="15"/>
      <c r="G325" s="15"/>
      <c r="H325" s="15"/>
      <c r="I325" s="15"/>
      <c r="J325" s="15"/>
      <c r="K325" s="15"/>
      <c r="L325" s="15"/>
      <c r="M325" s="15"/>
    </row>
    <row r="326" spans="1:13" ht="12.75">
      <c r="A326" s="31"/>
      <c r="B326" s="15"/>
      <c r="C326" s="15"/>
      <c r="D326" s="15"/>
      <c r="E326" s="15"/>
      <c r="F326" s="15"/>
      <c r="G326" s="15"/>
      <c r="H326" s="15"/>
      <c r="I326" s="15"/>
      <c r="J326" s="15"/>
      <c r="K326" s="15"/>
      <c r="L326" s="15"/>
      <c r="M326" s="15"/>
    </row>
    <row r="327" spans="1:13" ht="12.75">
      <c r="A327" s="31"/>
      <c r="B327" s="15"/>
      <c r="C327" s="15"/>
      <c r="D327" s="15"/>
      <c r="E327" s="15"/>
      <c r="F327" s="15"/>
      <c r="G327" s="15"/>
      <c r="H327" s="15"/>
      <c r="I327" s="15"/>
      <c r="J327" s="15"/>
      <c r="K327" s="15"/>
      <c r="L327" s="15"/>
      <c r="M327" s="15"/>
    </row>
    <row r="328" spans="1:13" ht="12.75">
      <c r="A328" s="31"/>
      <c r="B328" s="15"/>
      <c r="C328" s="15"/>
      <c r="D328" s="15"/>
      <c r="E328" s="15"/>
      <c r="F328" s="15"/>
      <c r="G328" s="15"/>
      <c r="H328" s="15"/>
      <c r="I328" s="15"/>
      <c r="J328" s="15"/>
      <c r="K328" s="15"/>
      <c r="L328" s="15"/>
      <c r="M328" s="15"/>
    </row>
    <row r="329" spans="1:13" ht="12.75">
      <c r="A329" s="31"/>
      <c r="B329" s="15"/>
      <c r="C329" s="15"/>
      <c r="D329" s="15"/>
      <c r="E329" s="15"/>
      <c r="F329" s="15"/>
      <c r="G329" s="15"/>
      <c r="H329" s="15"/>
      <c r="I329" s="15"/>
      <c r="J329" s="15"/>
      <c r="K329" s="15"/>
      <c r="L329" s="15"/>
      <c r="M329" s="15"/>
    </row>
    <row r="330" spans="1:13" ht="12.75">
      <c r="A330" s="31"/>
      <c r="B330" s="15"/>
      <c r="C330" s="15"/>
      <c r="D330" s="15"/>
      <c r="E330" s="15"/>
      <c r="F330" s="15"/>
      <c r="G330" s="15"/>
      <c r="H330" s="15"/>
      <c r="I330" s="15"/>
      <c r="J330" s="15"/>
      <c r="K330" s="15"/>
      <c r="L330" s="15"/>
      <c r="M330" s="15"/>
    </row>
    <row r="331" spans="1:13" ht="12.75">
      <c r="A331" s="31"/>
      <c r="B331" s="15"/>
      <c r="C331" s="15"/>
      <c r="D331" s="15"/>
      <c r="E331" s="15"/>
      <c r="F331" s="15"/>
      <c r="G331" s="15"/>
      <c r="H331" s="15"/>
      <c r="I331" s="15"/>
      <c r="J331" s="15"/>
      <c r="K331" s="15"/>
      <c r="L331" s="15"/>
      <c r="M331" s="15"/>
    </row>
    <row r="332" spans="1:13" ht="12.75">
      <c r="A332" s="31"/>
      <c r="B332" s="15"/>
      <c r="C332" s="15"/>
      <c r="D332" s="15"/>
      <c r="E332" s="15"/>
      <c r="F332" s="15"/>
      <c r="G332" s="15"/>
      <c r="H332" s="15"/>
      <c r="I332" s="15"/>
      <c r="J332" s="15"/>
      <c r="K332" s="15"/>
      <c r="L332" s="15"/>
      <c r="M332" s="15"/>
    </row>
    <row r="333" spans="1:13" ht="12.75">
      <c r="A333" s="31"/>
      <c r="B333" s="15"/>
      <c r="C333" s="15"/>
      <c r="D333" s="15"/>
      <c r="E333" s="15"/>
      <c r="F333" s="15"/>
      <c r="G333" s="15"/>
      <c r="H333" s="15"/>
      <c r="I333" s="15"/>
      <c r="J333" s="15"/>
      <c r="K333" s="15"/>
      <c r="L333" s="15"/>
      <c r="M333" s="15"/>
    </row>
    <row r="334" spans="1:13" ht="12.75">
      <c r="A334" s="31"/>
      <c r="B334" s="15"/>
      <c r="C334" s="15"/>
      <c r="D334" s="15"/>
      <c r="E334" s="15"/>
      <c r="F334" s="15"/>
      <c r="G334" s="15"/>
      <c r="H334" s="15"/>
      <c r="I334" s="15"/>
      <c r="J334" s="15"/>
      <c r="K334" s="15"/>
      <c r="L334" s="15"/>
      <c r="M334" s="15"/>
    </row>
    <row r="335" spans="1:13" ht="12.75">
      <c r="A335" s="31"/>
      <c r="B335" s="15"/>
      <c r="C335" s="15"/>
      <c r="D335" s="15"/>
      <c r="E335" s="15"/>
      <c r="F335" s="15"/>
      <c r="G335" s="15"/>
      <c r="H335" s="15"/>
      <c r="I335" s="15"/>
      <c r="J335" s="15"/>
      <c r="K335" s="15"/>
      <c r="L335" s="15"/>
      <c r="M335" s="15"/>
    </row>
    <row r="336" spans="1:13" ht="12.75">
      <c r="A336" s="31"/>
      <c r="B336" s="15"/>
      <c r="C336" s="15"/>
      <c r="D336" s="15"/>
      <c r="E336" s="15"/>
      <c r="F336" s="15"/>
      <c r="G336" s="15"/>
      <c r="H336" s="15"/>
      <c r="I336" s="15"/>
      <c r="J336" s="15"/>
      <c r="K336" s="15"/>
      <c r="L336" s="15"/>
      <c r="M336" s="15"/>
    </row>
    <row r="337" spans="1:13" ht="12.75">
      <c r="A337" s="31"/>
      <c r="B337" s="15"/>
      <c r="C337" s="15"/>
      <c r="D337" s="15"/>
      <c r="E337" s="15"/>
      <c r="F337" s="15"/>
      <c r="G337" s="15"/>
      <c r="H337" s="15"/>
      <c r="I337" s="15"/>
      <c r="J337" s="15"/>
      <c r="K337" s="15"/>
      <c r="L337" s="15"/>
      <c r="M337" s="15"/>
    </row>
    <row r="338" spans="1:13" ht="12.75">
      <c r="A338" s="31"/>
      <c r="B338" s="15"/>
      <c r="C338" s="15"/>
      <c r="D338" s="15"/>
      <c r="E338" s="15"/>
      <c r="F338" s="15"/>
      <c r="G338" s="15"/>
      <c r="H338" s="15"/>
      <c r="I338" s="15"/>
      <c r="J338" s="15"/>
      <c r="K338" s="15"/>
      <c r="L338" s="15"/>
      <c r="M338" s="15"/>
    </row>
    <row r="339" spans="1:13" ht="12.75">
      <c r="A339" s="31"/>
      <c r="B339" s="15"/>
      <c r="C339" s="15"/>
      <c r="D339" s="15"/>
      <c r="E339" s="15"/>
      <c r="F339" s="15"/>
      <c r="G339" s="15"/>
      <c r="H339" s="15"/>
      <c r="I339" s="15"/>
      <c r="J339" s="15"/>
      <c r="K339" s="15"/>
      <c r="L339" s="15"/>
      <c r="M339" s="15"/>
    </row>
    <row r="340" spans="1:13" ht="12.75">
      <c r="A340" s="31"/>
      <c r="B340" s="15"/>
      <c r="C340" s="15"/>
      <c r="D340" s="15"/>
      <c r="E340" s="15"/>
      <c r="F340" s="15"/>
      <c r="G340" s="15"/>
      <c r="H340" s="15"/>
      <c r="I340" s="15"/>
      <c r="J340" s="15"/>
      <c r="K340" s="15"/>
      <c r="L340" s="15"/>
      <c r="M340" s="15"/>
    </row>
    <row r="341" spans="1:13" ht="12.75">
      <c r="A341" s="31"/>
      <c r="B341" s="15"/>
      <c r="C341" s="15"/>
      <c r="D341" s="15"/>
      <c r="E341" s="15"/>
      <c r="F341" s="15"/>
      <c r="G341" s="15"/>
      <c r="H341" s="15"/>
      <c r="I341" s="15"/>
      <c r="J341" s="15"/>
      <c r="K341" s="15"/>
      <c r="L341" s="15"/>
      <c r="M341" s="15"/>
    </row>
    <row r="342" spans="1:13" ht="12.75">
      <c r="A342" s="31"/>
      <c r="B342" s="15"/>
      <c r="C342" s="15"/>
      <c r="D342" s="15"/>
      <c r="E342" s="15"/>
      <c r="F342" s="15"/>
      <c r="G342" s="15"/>
      <c r="H342" s="15"/>
      <c r="I342" s="15"/>
      <c r="J342" s="15"/>
      <c r="K342" s="15"/>
      <c r="L342" s="15"/>
      <c r="M342" s="15"/>
    </row>
    <row r="343" spans="1:13" ht="12.75">
      <c r="A343" s="31"/>
      <c r="B343" s="15"/>
      <c r="C343" s="15"/>
      <c r="D343" s="15"/>
      <c r="E343" s="15"/>
      <c r="F343" s="15"/>
      <c r="G343" s="15"/>
      <c r="H343" s="15"/>
      <c r="I343" s="15"/>
      <c r="J343" s="15"/>
      <c r="K343" s="15"/>
      <c r="L343" s="15"/>
      <c r="M343" s="15"/>
    </row>
    <row r="344" spans="1:13" ht="12.75">
      <c r="A344" s="31"/>
      <c r="B344" s="15"/>
      <c r="C344" s="15"/>
      <c r="D344" s="15"/>
      <c r="E344" s="15"/>
      <c r="F344" s="15"/>
      <c r="G344" s="15"/>
      <c r="H344" s="15"/>
      <c r="I344" s="15"/>
      <c r="J344" s="15"/>
      <c r="K344" s="15"/>
      <c r="L344" s="15"/>
      <c r="M344" s="15"/>
    </row>
    <row r="345" spans="1:13" ht="12.75">
      <c r="A345" s="31"/>
      <c r="B345" s="15"/>
      <c r="C345" s="15"/>
      <c r="D345" s="15"/>
      <c r="E345" s="15"/>
      <c r="F345" s="15"/>
      <c r="G345" s="15"/>
      <c r="H345" s="15"/>
      <c r="I345" s="15"/>
      <c r="J345" s="15"/>
      <c r="K345" s="15"/>
      <c r="L345" s="15"/>
      <c r="M345" s="15"/>
    </row>
    <row r="346" spans="1:13" ht="12.75">
      <c r="A346" s="31"/>
      <c r="B346" s="15"/>
      <c r="C346" s="15"/>
      <c r="D346" s="15"/>
      <c r="E346" s="15"/>
      <c r="F346" s="15"/>
      <c r="G346" s="15"/>
      <c r="H346" s="15"/>
      <c r="I346" s="15"/>
      <c r="J346" s="15"/>
      <c r="K346" s="15"/>
      <c r="L346" s="15"/>
      <c r="M346" s="15"/>
    </row>
    <row r="347" spans="1:13" ht="12.75">
      <c r="A347" s="31"/>
      <c r="B347" s="15"/>
      <c r="C347" s="15"/>
      <c r="D347" s="15"/>
      <c r="E347" s="15"/>
      <c r="F347" s="15"/>
      <c r="G347" s="15"/>
      <c r="H347" s="15"/>
      <c r="I347" s="15"/>
      <c r="J347" s="15"/>
      <c r="K347" s="15"/>
      <c r="L347" s="15"/>
      <c r="M347" s="15"/>
    </row>
    <row r="348" spans="1:13" ht="12.75">
      <c r="A348" s="31"/>
      <c r="B348" s="15"/>
      <c r="C348" s="15"/>
      <c r="D348" s="15"/>
      <c r="E348" s="15"/>
      <c r="F348" s="15"/>
      <c r="G348" s="15"/>
      <c r="H348" s="15"/>
      <c r="I348" s="15"/>
      <c r="J348" s="15"/>
      <c r="K348" s="15"/>
      <c r="L348" s="15"/>
      <c r="M348" s="15"/>
    </row>
    <row r="349" spans="1:13" ht="12.75">
      <c r="A349" s="31"/>
      <c r="B349" s="15"/>
      <c r="C349" s="15"/>
      <c r="D349" s="15"/>
      <c r="E349" s="15"/>
      <c r="F349" s="15"/>
      <c r="G349" s="15"/>
      <c r="H349" s="15"/>
      <c r="I349" s="15"/>
      <c r="J349" s="15"/>
      <c r="K349" s="15"/>
      <c r="L349" s="15"/>
      <c r="M349" s="15"/>
    </row>
    <row r="350" spans="1:13" ht="12.75">
      <c r="A350" s="31"/>
      <c r="B350" s="15"/>
      <c r="C350" s="15"/>
      <c r="D350" s="15"/>
      <c r="E350" s="15"/>
      <c r="F350" s="15"/>
      <c r="G350" s="15"/>
      <c r="H350" s="15"/>
      <c r="I350" s="15"/>
      <c r="J350" s="15"/>
      <c r="K350" s="15"/>
      <c r="L350" s="15"/>
      <c r="M350" s="15"/>
    </row>
    <row r="351" spans="1:13" ht="12.75">
      <c r="A351" s="31"/>
      <c r="B351" s="15"/>
      <c r="C351" s="15"/>
      <c r="D351" s="15"/>
      <c r="E351" s="15"/>
      <c r="F351" s="15"/>
      <c r="G351" s="15"/>
      <c r="H351" s="15"/>
      <c r="I351" s="15"/>
      <c r="J351" s="15"/>
      <c r="K351" s="15"/>
      <c r="L351" s="15"/>
      <c r="M351" s="15"/>
    </row>
    <row r="352" spans="1:13" ht="12.75">
      <c r="A352" s="31"/>
      <c r="B352" s="15"/>
      <c r="C352" s="15"/>
      <c r="D352" s="15"/>
      <c r="E352" s="15"/>
      <c r="F352" s="15"/>
      <c r="G352" s="15"/>
      <c r="H352" s="15"/>
      <c r="I352" s="15"/>
      <c r="J352" s="15"/>
      <c r="K352" s="15"/>
      <c r="L352" s="15"/>
      <c r="M352" s="15"/>
    </row>
    <row r="353" spans="1:13" ht="12.75">
      <c r="A353" s="31"/>
      <c r="B353" s="15"/>
      <c r="C353" s="15"/>
      <c r="D353" s="15"/>
      <c r="E353" s="15"/>
      <c r="F353" s="15"/>
      <c r="G353" s="15"/>
      <c r="H353" s="15"/>
      <c r="I353" s="15"/>
      <c r="J353" s="15"/>
      <c r="K353" s="15"/>
      <c r="L353" s="15"/>
      <c r="M353" s="15"/>
    </row>
    <row r="354" spans="1:13" ht="12.75">
      <c r="A354" s="31"/>
      <c r="B354" s="15"/>
      <c r="C354" s="15"/>
      <c r="D354" s="15"/>
      <c r="E354" s="15"/>
      <c r="F354" s="15"/>
      <c r="G354" s="15"/>
      <c r="H354" s="15"/>
      <c r="I354" s="15"/>
      <c r="J354" s="15"/>
      <c r="K354" s="15"/>
      <c r="L354" s="15"/>
      <c r="M354" s="15"/>
    </row>
    <row r="355" spans="1:13" ht="12.75">
      <c r="A355" s="31"/>
      <c r="B355" s="15"/>
      <c r="C355" s="15"/>
      <c r="D355" s="15"/>
      <c r="E355" s="15"/>
      <c r="F355" s="15"/>
      <c r="G355" s="15"/>
      <c r="H355" s="15"/>
      <c r="I355" s="15"/>
      <c r="J355" s="15"/>
      <c r="K355" s="15"/>
      <c r="L355" s="15"/>
      <c r="M355" s="15"/>
    </row>
    <row r="356" spans="1:13" ht="12.75">
      <c r="A356" s="31"/>
      <c r="B356" s="15"/>
      <c r="C356" s="15"/>
      <c r="D356" s="15"/>
      <c r="E356" s="15"/>
      <c r="F356" s="15"/>
      <c r="G356" s="15"/>
      <c r="H356" s="15"/>
      <c r="I356" s="15"/>
      <c r="J356" s="15"/>
      <c r="K356" s="15"/>
      <c r="L356" s="15"/>
      <c r="M356" s="15"/>
    </row>
    <row r="357" spans="1:13" ht="12.75">
      <c r="A357" s="31"/>
      <c r="B357" s="15"/>
      <c r="C357" s="15"/>
      <c r="D357" s="15"/>
      <c r="E357" s="15"/>
      <c r="F357" s="15"/>
      <c r="G357" s="15"/>
      <c r="H357" s="15"/>
      <c r="I357" s="15"/>
      <c r="J357" s="15"/>
      <c r="K357" s="15"/>
      <c r="L357" s="15"/>
      <c r="M357" s="15"/>
    </row>
    <row r="358" spans="1:13" ht="12.75">
      <c r="A358" s="31"/>
      <c r="B358" s="15"/>
      <c r="C358" s="15"/>
      <c r="D358" s="15"/>
      <c r="E358" s="15"/>
      <c r="F358" s="15"/>
      <c r="G358" s="15"/>
      <c r="H358" s="15"/>
      <c r="I358" s="15"/>
      <c r="J358" s="15"/>
      <c r="K358" s="15"/>
      <c r="L358" s="15"/>
      <c r="M358" s="15"/>
    </row>
    <row r="359" spans="1:13" ht="12.75">
      <c r="A359" s="31"/>
      <c r="B359" s="15"/>
      <c r="C359" s="15"/>
      <c r="D359" s="15"/>
      <c r="E359" s="15"/>
      <c r="F359" s="15"/>
      <c r="G359" s="15"/>
      <c r="H359" s="15"/>
      <c r="I359" s="15"/>
      <c r="J359" s="15"/>
      <c r="K359" s="15"/>
      <c r="L359" s="15"/>
      <c r="M359" s="15"/>
    </row>
    <row r="360" spans="1:13" ht="12.75">
      <c r="A360" s="31"/>
      <c r="B360" s="15"/>
      <c r="C360" s="15"/>
      <c r="D360" s="15"/>
      <c r="E360" s="15"/>
      <c r="F360" s="15"/>
      <c r="G360" s="15"/>
      <c r="H360" s="15"/>
      <c r="I360" s="15"/>
      <c r="J360" s="15"/>
      <c r="K360" s="15"/>
      <c r="L360" s="15"/>
      <c r="M360" s="15"/>
    </row>
    <row r="361" spans="1:13" ht="12.75">
      <c r="A361" s="31"/>
      <c r="B361" s="15"/>
      <c r="C361" s="15"/>
      <c r="D361" s="15"/>
      <c r="E361" s="15"/>
      <c r="F361" s="15"/>
      <c r="G361" s="15"/>
      <c r="H361" s="15"/>
      <c r="I361" s="15"/>
      <c r="J361" s="15"/>
      <c r="K361" s="15"/>
      <c r="L361" s="15"/>
      <c r="M361" s="15"/>
    </row>
    <row r="362" spans="1:13" ht="12.75">
      <c r="A362" s="31"/>
      <c r="B362" s="15"/>
      <c r="C362" s="15"/>
      <c r="D362" s="15"/>
      <c r="E362" s="15"/>
      <c r="F362" s="15"/>
      <c r="G362" s="15"/>
      <c r="H362" s="15"/>
      <c r="I362" s="15"/>
      <c r="J362" s="15"/>
      <c r="K362" s="15"/>
      <c r="L362" s="15"/>
      <c r="M362" s="15"/>
    </row>
    <row r="363" spans="1:13" ht="12.75">
      <c r="A363" s="31"/>
      <c r="B363" s="15"/>
      <c r="C363" s="15"/>
      <c r="D363" s="15"/>
      <c r="E363" s="15"/>
      <c r="F363" s="15"/>
      <c r="G363" s="15"/>
      <c r="H363" s="15"/>
      <c r="I363" s="15"/>
      <c r="J363" s="15"/>
      <c r="K363" s="15"/>
      <c r="L363" s="15"/>
      <c r="M363" s="15"/>
    </row>
    <row r="364" spans="1:13" ht="12.75">
      <c r="A364" s="31"/>
      <c r="B364" s="15"/>
      <c r="C364" s="15"/>
      <c r="D364" s="15"/>
      <c r="E364" s="15"/>
      <c r="F364" s="15"/>
      <c r="G364" s="15"/>
      <c r="H364" s="15"/>
      <c r="I364" s="15"/>
      <c r="J364" s="15"/>
      <c r="K364" s="15"/>
      <c r="L364" s="15"/>
      <c r="M364" s="15"/>
    </row>
    <row r="365" spans="1:13" ht="12.75">
      <c r="A365" s="31"/>
      <c r="B365" s="15"/>
      <c r="C365" s="15"/>
      <c r="D365" s="15"/>
      <c r="E365" s="15"/>
      <c r="F365" s="15"/>
      <c r="G365" s="15"/>
      <c r="H365" s="15"/>
      <c r="I365" s="15"/>
      <c r="J365" s="15"/>
      <c r="K365" s="15"/>
      <c r="L365" s="15"/>
      <c r="M365" s="15"/>
    </row>
    <row r="366" spans="1:13" ht="12.75">
      <c r="A366" s="31"/>
      <c r="B366" s="15"/>
      <c r="C366" s="15"/>
      <c r="D366" s="15"/>
      <c r="E366" s="15"/>
      <c r="F366" s="15"/>
      <c r="G366" s="15"/>
      <c r="H366" s="15"/>
      <c r="I366" s="15"/>
      <c r="J366" s="15"/>
      <c r="K366" s="15"/>
      <c r="L366" s="15"/>
      <c r="M366" s="15"/>
    </row>
    <row r="367" spans="1:13" ht="12.75">
      <c r="A367" s="31"/>
      <c r="B367" s="15"/>
      <c r="C367" s="15"/>
      <c r="D367" s="15"/>
      <c r="E367" s="15"/>
      <c r="F367" s="15"/>
      <c r="G367" s="15"/>
      <c r="H367" s="15"/>
      <c r="I367" s="15"/>
      <c r="J367" s="15"/>
      <c r="K367" s="15"/>
      <c r="L367" s="15"/>
      <c r="M367" s="15"/>
    </row>
    <row r="368" spans="1:13" ht="12.75">
      <c r="A368" s="31"/>
      <c r="B368" s="15"/>
      <c r="C368" s="15"/>
      <c r="D368" s="15"/>
      <c r="E368" s="15"/>
      <c r="F368" s="15"/>
      <c r="G368" s="15"/>
      <c r="H368" s="15"/>
      <c r="I368" s="15"/>
      <c r="J368" s="15"/>
      <c r="K368" s="15"/>
      <c r="L368" s="15"/>
      <c r="M368" s="15"/>
    </row>
    <row r="369" spans="1:13" ht="12.75">
      <c r="A369" s="31"/>
      <c r="B369" s="15"/>
      <c r="C369" s="15"/>
      <c r="D369" s="15"/>
      <c r="E369" s="15"/>
      <c r="F369" s="15"/>
      <c r="G369" s="15"/>
      <c r="H369" s="15"/>
      <c r="I369" s="15"/>
      <c r="J369" s="15"/>
      <c r="K369" s="15"/>
      <c r="L369" s="15"/>
      <c r="M369" s="15"/>
    </row>
    <row r="370" spans="1:13" ht="12.75">
      <c r="A370" s="31"/>
      <c r="B370" s="15"/>
      <c r="C370" s="15"/>
      <c r="D370" s="15"/>
      <c r="E370" s="15"/>
      <c r="F370" s="15"/>
      <c r="G370" s="15"/>
      <c r="H370" s="15"/>
      <c r="I370" s="15"/>
      <c r="J370" s="15"/>
      <c r="K370" s="15"/>
      <c r="L370" s="15"/>
      <c r="M370" s="15"/>
    </row>
    <row r="371" spans="1:13" ht="12.75">
      <c r="A371" s="31"/>
      <c r="B371" s="15"/>
      <c r="C371" s="15"/>
      <c r="D371" s="15"/>
      <c r="E371" s="15"/>
      <c r="F371" s="15"/>
      <c r="G371" s="15"/>
      <c r="H371" s="15"/>
      <c r="I371" s="15"/>
      <c r="J371" s="15"/>
      <c r="K371" s="15"/>
      <c r="L371" s="15"/>
      <c r="M371" s="15"/>
    </row>
    <row r="372" spans="1:13" ht="12.75">
      <c r="A372" s="31"/>
      <c r="B372" s="15"/>
      <c r="C372" s="15"/>
      <c r="D372" s="15"/>
      <c r="E372" s="15"/>
      <c r="F372" s="15"/>
      <c r="G372" s="15"/>
      <c r="H372" s="15"/>
      <c r="I372" s="15"/>
      <c r="J372" s="15"/>
      <c r="K372" s="15"/>
      <c r="L372" s="15"/>
      <c r="M372" s="15"/>
    </row>
    <row r="373" spans="1:13" ht="12.75">
      <c r="A373" s="31"/>
      <c r="B373" s="15"/>
      <c r="C373" s="15"/>
      <c r="D373" s="15"/>
      <c r="E373" s="15"/>
      <c r="F373" s="15"/>
      <c r="G373" s="15"/>
      <c r="H373" s="15"/>
      <c r="I373" s="15"/>
      <c r="J373" s="15"/>
      <c r="K373" s="15"/>
      <c r="L373" s="15"/>
      <c r="M373" s="15"/>
    </row>
    <row r="374" spans="1:13" ht="12.75">
      <c r="A374" s="31"/>
      <c r="B374" s="15"/>
      <c r="C374" s="15"/>
      <c r="D374" s="15"/>
      <c r="E374" s="15"/>
      <c r="F374" s="15"/>
      <c r="G374" s="15"/>
      <c r="H374" s="15"/>
      <c r="I374" s="15"/>
      <c r="J374" s="15"/>
      <c r="K374" s="15"/>
      <c r="L374" s="15"/>
      <c r="M374" s="15"/>
    </row>
    <row r="375" spans="1:13" ht="12.75">
      <c r="A375" s="31"/>
      <c r="B375" s="15"/>
      <c r="C375" s="15"/>
      <c r="D375" s="15"/>
      <c r="E375" s="15"/>
      <c r="F375" s="15"/>
      <c r="G375" s="15"/>
      <c r="H375" s="15"/>
      <c r="I375" s="15"/>
      <c r="J375" s="15"/>
      <c r="K375" s="15"/>
      <c r="L375" s="15"/>
      <c r="M375" s="15"/>
    </row>
    <row r="376" spans="1:13" ht="12.75">
      <c r="A376" s="31"/>
      <c r="B376" s="15"/>
      <c r="C376" s="15"/>
      <c r="D376" s="15"/>
      <c r="E376" s="15"/>
      <c r="F376" s="15"/>
      <c r="G376" s="15"/>
      <c r="H376" s="15"/>
      <c r="I376" s="15"/>
      <c r="J376" s="15"/>
      <c r="K376" s="15"/>
      <c r="L376" s="15"/>
      <c r="M376" s="15"/>
    </row>
    <row r="377" spans="1:13" ht="12.75">
      <c r="A377" s="31"/>
      <c r="B377" s="15"/>
      <c r="C377" s="15"/>
      <c r="D377" s="15"/>
      <c r="E377" s="15"/>
      <c r="F377" s="15"/>
      <c r="G377" s="15"/>
      <c r="H377" s="15"/>
      <c r="I377" s="15"/>
      <c r="J377" s="15"/>
      <c r="K377" s="15"/>
      <c r="L377" s="15"/>
      <c r="M377" s="15"/>
    </row>
    <row r="378" spans="1:13" ht="12.75">
      <c r="A378" s="31"/>
      <c r="B378" s="15"/>
      <c r="C378" s="15"/>
      <c r="D378" s="15"/>
      <c r="E378" s="15"/>
      <c r="F378" s="15"/>
      <c r="G378" s="15"/>
      <c r="H378" s="15"/>
      <c r="I378" s="15"/>
      <c r="J378" s="15"/>
      <c r="K378" s="15"/>
      <c r="L378" s="15"/>
      <c r="M378" s="15"/>
    </row>
    <row r="379" spans="1:13" ht="12.75">
      <c r="A379" s="31"/>
      <c r="B379" s="15"/>
      <c r="C379" s="15"/>
      <c r="D379" s="15"/>
      <c r="E379" s="15"/>
      <c r="F379" s="15"/>
      <c r="G379" s="15"/>
      <c r="H379" s="15"/>
      <c r="I379" s="15"/>
      <c r="J379" s="15"/>
      <c r="K379" s="15"/>
      <c r="L379" s="15"/>
      <c r="M379" s="15"/>
    </row>
    <row r="380" spans="1:13" ht="12.75">
      <c r="A380" s="31"/>
      <c r="B380" s="15"/>
      <c r="C380" s="15"/>
      <c r="D380" s="15"/>
      <c r="E380" s="15"/>
      <c r="F380" s="15"/>
      <c r="G380" s="15"/>
      <c r="H380" s="15"/>
      <c r="I380" s="15"/>
      <c r="J380" s="15"/>
      <c r="K380" s="15"/>
      <c r="L380" s="15"/>
      <c r="M380" s="15"/>
    </row>
    <row r="381" spans="1:13" ht="12.75">
      <c r="A381" s="31"/>
      <c r="B381" s="15"/>
      <c r="C381" s="15"/>
      <c r="D381" s="15"/>
      <c r="E381" s="15"/>
      <c r="F381" s="15"/>
      <c r="G381" s="15"/>
      <c r="H381" s="15"/>
      <c r="I381" s="15"/>
      <c r="J381" s="15"/>
      <c r="K381" s="15"/>
      <c r="L381" s="15"/>
      <c r="M381" s="15"/>
    </row>
    <row r="382" spans="1:13" ht="12.75">
      <c r="A382" s="31"/>
      <c r="B382" s="15"/>
      <c r="C382" s="15"/>
      <c r="D382" s="15"/>
      <c r="E382" s="15"/>
      <c r="F382" s="15"/>
      <c r="G382" s="15"/>
      <c r="H382" s="15"/>
      <c r="I382" s="15"/>
      <c r="J382" s="15"/>
      <c r="K382" s="15"/>
      <c r="L382" s="15"/>
      <c r="M382" s="15"/>
    </row>
    <row r="383" spans="1:13" ht="12.75">
      <c r="A383" s="31"/>
      <c r="B383" s="15"/>
      <c r="C383" s="15"/>
      <c r="D383" s="15"/>
      <c r="E383" s="15"/>
      <c r="F383" s="15"/>
      <c r="G383" s="15"/>
      <c r="H383" s="15"/>
      <c r="I383" s="15"/>
      <c r="J383" s="15"/>
      <c r="K383" s="15"/>
      <c r="L383" s="15"/>
      <c r="M383" s="15"/>
    </row>
    <row r="384" spans="1:13" ht="12.75">
      <c r="A384" s="31"/>
      <c r="B384" s="15"/>
      <c r="C384" s="15"/>
      <c r="D384" s="15"/>
      <c r="E384" s="15"/>
      <c r="F384" s="15"/>
      <c r="G384" s="15"/>
      <c r="H384" s="15"/>
      <c r="I384" s="15"/>
      <c r="J384" s="15"/>
      <c r="K384" s="15"/>
      <c r="L384" s="15"/>
      <c r="M384" s="15"/>
    </row>
    <row r="385" spans="1:13" ht="12.75">
      <c r="A385" s="31"/>
      <c r="B385" s="15"/>
      <c r="C385" s="15"/>
      <c r="D385" s="15"/>
      <c r="E385" s="15"/>
      <c r="F385" s="15"/>
      <c r="G385" s="15"/>
      <c r="H385" s="15"/>
      <c r="I385" s="15"/>
      <c r="J385" s="15"/>
      <c r="K385" s="15"/>
      <c r="L385" s="15"/>
      <c r="M385" s="15"/>
    </row>
    <row r="386" spans="1:13" ht="12.75">
      <c r="A386" s="31"/>
      <c r="B386" s="15"/>
      <c r="C386" s="15"/>
      <c r="D386" s="15"/>
      <c r="E386" s="15"/>
      <c r="F386" s="15"/>
      <c r="G386" s="15"/>
      <c r="H386" s="15"/>
      <c r="I386" s="15"/>
      <c r="J386" s="15"/>
      <c r="K386" s="15"/>
      <c r="L386" s="15"/>
      <c r="M386" s="15"/>
    </row>
    <row r="387" spans="1:13" ht="12.75">
      <c r="A387" s="31"/>
      <c r="B387" s="15"/>
      <c r="C387" s="15"/>
      <c r="D387" s="15"/>
      <c r="E387" s="15"/>
      <c r="F387" s="15"/>
      <c r="G387" s="15"/>
      <c r="H387" s="15"/>
      <c r="I387" s="15"/>
      <c r="J387" s="15"/>
      <c r="K387" s="15"/>
      <c r="L387" s="15"/>
      <c r="M387" s="15"/>
    </row>
    <row r="388" spans="1:13" ht="12.75">
      <c r="A388" s="31"/>
      <c r="B388" s="15"/>
      <c r="C388" s="15"/>
      <c r="D388" s="15"/>
      <c r="E388" s="15"/>
      <c r="F388" s="15"/>
      <c r="G388" s="15"/>
      <c r="H388" s="15"/>
      <c r="I388" s="15"/>
      <c r="J388" s="15"/>
      <c r="K388" s="15"/>
      <c r="L388" s="15"/>
      <c r="M388" s="15"/>
    </row>
    <row r="389" spans="1:13" ht="12.75">
      <c r="A389" s="31"/>
      <c r="B389" s="15"/>
      <c r="C389" s="15"/>
      <c r="D389" s="15"/>
      <c r="E389" s="15"/>
      <c r="F389" s="15"/>
      <c r="G389" s="15"/>
      <c r="H389" s="15"/>
      <c r="I389" s="15"/>
      <c r="J389" s="15"/>
      <c r="K389" s="15"/>
      <c r="L389" s="15"/>
      <c r="M389" s="15"/>
    </row>
    <row r="390" spans="1:13" ht="12.75">
      <c r="A390" s="31"/>
      <c r="B390" s="15"/>
      <c r="C390" s="15"/>
      <c r="D390" s="15"/>
      <c r="E390" s="15"/>
      <c r="F390" s="15"/>
      <c r="G390" s="15"/>
      <c r="H390" s="15"/>
      <c r="I390" s="15"/>
      <c r="J390" s="15"/>
      <c r="K390" s="15"/>
      <c r="L390" s="15"/>
      <c r="M390" s="15"/>
    </row>
    <row r="391" spans="1:13" ht="12.75">
      <c r="A391" s="31"/>
      <c r="B391" s="15"/>
      <c r="C391" s="15"/>
      <c r="D391" s="15"/>
      <c r="E391" s="15"/>
      <c r="F391" s="15"/>
      <c r="G391" s="15"/>
      <c r="H391" s="15"/>
      <c r="I391" s="15"/>
      <c r="J391" s="15"/>
      <c r="K391" s="15"/>
      <c r="L391" s="15"/>
      <c r="M391" s="15"/>
    </row>
    <row r="392" spans="1:13" ht="12.75">
      <c r="A392" s="31"/>
      <c r="B392" s="15"/>
      <c r="C392" s="15"/>
      <c r="D392" s="15"/>
      <c r="E392" s="15"/>
      <c r="F392" s="15"/>
      <c r="G392" s="15"/>
      <c r="H392" s="15"/>
      <c r="I392" s="15"/>
      <c r="J392" s="15"/>
      <c r="K392" s="15"/>
      <c r="L392" s="15"/>
      <c r="M392" s="15"/>
    </row>
    <row r="393" spans="1:13" ht="12.75">
      <c r="A393" s="31"/>
      <c r="B393" s="15"/>
      <c r="C393" s="15"/>
      <c r="D393" s="15"/>
      <c r="E393" s="15"/>
      <c r="F393" s="15"/>
      <c r="G393" s="15"/>
      <c r="H393" s="15"/>
      <c r="I393" s="15"/>
      <c r="J393" s="15"/>
      <c r="K393" s="15"/>
      <c r="L393" s="15"/>
      <c r="M393" s="15"/>
    </row>
    <row r="394" spans="1:13" ht="12.75">
      <c r="A394" s="31"/>
      <c r="B394" s="15"/>
      <c r="C394" s="15"/>
      <c r="D394" s="15"/>
      <c r="E394" s="15"/>
      <c r="F394" s="15"/>
      <c r="G394" s="15"/>
      <c r="H394" s="15"/>
      <c r="I394" s="15"/>
      <c r="J394" s="15"/>
      <c r="K394" s="15"/>
      <c r="L394" s="15"/>
      <c r="M394" s="15"/>
    </row>
    <row r="395" spans="1:13" ht="12.75">
      <c r="A395" s="31"/>
      <c r="B395" s="15"/>
      <c r="C395" s="15"/>
      <c r="D395" s="15"/>
      <c r="E395" s="15"/>
      <c r="F395" s="15"/>
      <c r="G395" s="15"/>
      <c r="H395" s="15"/>
      <c r="I395" s="15"/>
      <c r="J395" s="15"/>
      <c r="K395" s="15"/>
      <c r="L395" s="15"/>
      <c r="M395" s="15"/>
    </row>
    <row r="396" spans="1:13" ht="12.75">
      <c r="A396" s="31"/>
      <c r="B396" s="15"/>
      <c r="C396" s="15"/>
      <c r="D396" s="15"/>
      <c r="E396" s="15"/>
      <c r="F396" s="15"/>
      <c r="G396" s="15"/>
      <c r="H396" s="15"/>
      <c r="I396" s="15"/>
      <c r="J396" s="15"/>
      <c r="K396" s="15"/>
      <c r="L396" s="15"/>
      <c r="M396" s="15"/>
    </row>
    <row r="397" spans="1:13" ht="12.75">
      <c r="A397" s="31"/>
      <c r="B397" s="15"/>
      <c r="C397" s="15"/>
      <c r="D397" s="15"/>
      <c r="E397" s="15"/>
      <c r="F397" s="15"/>
      <c r="G397" s="15"/>
      <c r="H397" s="15"/>
      <c r="I397" s="15"/>
      <c r="J397" s="15"/>
      <c r="K397" s="15"/>
      <c r="L397" s="15"/>
      <c r="M397" s="15"/>
    </row>
    <row r="398" spans="1:13" ht="12.75">
      <c r="A398" s="31"/>
      <c r="B398" s="15"/>
      <c r="C398" s="15"/>
      <c r="D398" s="15"/>
      <c r="E398" s="15"/>
      <c r="F398" s="15"/>
      <c r="G398" s="15"/>
      <c r="H398" s="15"/>
      <c r="I398" s="15"/>
      <c r="J398" s="15"/>
      <c r="K398" s="15"/>
      <c r="L398" s="15"/>
      <c r="M398" s="15"/>
    </row>
    <row r="399" spans="1:13" ht="12.75">
      <c r="A399" s="31"/>
      <c r="B399" s="15"/>
      <c r="C399" s="15"/>
      <c r="D399" s="15"/>
      <c r="E399" s="15"/>
      <c r="F399" s="15"/>
      <c r="G399" s="15"/>
      <c r="H399" s="15"/>
      <c r="I399" s="15"/>
      <c r="J399" s="15"/>
      <c r="K399" s="15"/>
      <c r="L399" s="15"/>
      <c r="M399" s="15"/>
    </row>
    <row r="400" spans="1:13" ht="12.75">
      <c r="A400" s="31"/>
      <c r="B400" s="15"/>
      <c r="C400" s="15"/>
      <c r="D400" s="15"/>
      <c r="E400" s="15"/>
      <c r="F400" s="15"/>
      <c r="G400" s="15"/>
      <c r="H400" s="15"/>
      <c r="I400" s="15"/>
      <c r="J400" s="15"/>
      <c r="K400" s="15"/>
      <c r="L400" s="15"/>
      <c r="M400" s="15"/>
    </row>
    <row r="401" spans="1:13" ht="12.75">
      <c r="A401" s="31"/>
      <c r="B401" s="15"/>
      <c r="C401" s="15"/>
      <c r="D401" s="15"/>
      <c r="E401" s="15"/>
      <c r="F401" s="15"/>
      <c r="G401" s="15"/>
      <c r="H401" s="15"/>
      <c r="I401" s="15"/>
      <c r="J401" s="15"/>
      <c r="K401" s="15"/>
      <c r="L401" s="15"/>
      <c r="M401" s="15"/>
    </row>
    <row r="402" spans="1:13" ht="12.75">
      <c r="A402" s="31"/>
      <c r="B402" s="15"/>
      <c r="C402" s="15"/>
      <c r="D402" s="15"/>
      <c r="E402" s="15"/>
      <c r="F402" s="15"/>
      <c r="G402" s="15"/>
      <c r="H402" s="15"/>
      <c r="I402" s="15"/>
      <c r="J402" s="15"/>
      <c r="K402" s="15"/>
      <c r="L402" s="15"/>
      <c r="M402" s="15"/>
    </row>
    <row r="403" spans="1:13" ht="12.75">
      <c r="A403" s="31"/>
      <c r="B403" s="15"/>
      <c r="C403" s="15"/>
      <c r="D403" s="15"/>
      <c r="E403" s="15"/>
      <c r="F403" s="15"/>
      <c r="G403" s="15"/>
      <c r="H403" s="15"/>
      <c r="I403" s="15"/>
      <c r="J403" s="15"/>
      <c r="K403" s="15"/>
      <c r="L403" s="15"/>
      <c r="M403" s="15"/>
    </row>
    <row r="404" spans="1:13" ht="12.75">
      <c r="A404" s="31"/>
      <c r="B404" s="15"/>
      <c r="C404" s="15"/>
      <c r="D404" s="15"/>
      <c r="E404" s="15"/>
      <c r="F404" s="15"/>
      <c r="G404" s="15"/>
      <c r="H404" s="15"/>
      <c r="I404" s="15"/>
      <c r="J404" s="15"/>
      <c r="K404" s="15"/>
      <c r="L404" s="15"/>
      <c r="M404" s="15"/>
    </row>
    <row r="405" spans="1:13" ht="12.75">
      <c r="A405" s="31"/>
      <c r="B405" s="15"/>
      <c r="C405" s="15"/>
      <c r="D405" s="15"/>
      <c r="E405" s="15"/>
      <c r="F405" s="15"/>
      <c r="G405" s="15"/>
      <c r="H405" s="15"/>
      <c r="I405" s="15"/>
      <c r="J405" s="15"/>
      <c r="K405" s="15"/>
      <c r="L405" s="15"/>
      <c r="M405" s="15"/>
    </row>
    <row r="406" spans="1:13" ht="12.75">
      <c r="A406" s="31"/>
      <c r="B406" s="15"/>
      <c r="C406" s="15"/>
      <c r="D406" s="15"/>
      <c r="E406" s="15"/>
      <c r="F406" s="15"/>
      <c r="G406" s="15"/>
      <c r="H406" s="15"/>
      <c r="I406" s="15"/>
      <c r="J406" s="15"/>
      <c r="K406" s="15"/>
      <c r="L406" s="15"/>
      <c r="M406" s="15"/>
    </row>
    <row r="407" spans="1:13" ht="12.75">
      <c r="A407" s="31"/>
      <c r="B407" s="15"/>
      <c r="C407" s="15"/>
      <c r="D407" s="15"/>
      <c r="E407" s="15"/>
      <c r="F407" s="15"/>
      <c r="G407" s="15"/>
      <c r="H407" s="15"/>
      <c r="I407" s="15"/>
      <c r="J407" s="15"/>
      <c r="K407" s="15"/>
      <c r="L407" s="15"/>
      <c r="M407" s="15"/>
    </row>
    <row r="408" spans="1:13" ht="12.75">
      <c r="A408" s="31"/>
      <c r="B408" s="15"/>
      <c r="C408" s="15"/>
      <c r="D408" s="15"/>
      <c r="E408" s="15"/>
      <c r="F408" s="15"/>
      <c r="G408" s="15"/>
      <c r="H408" s="15"/>
      <c r="I408" s="15"/>
      <c r="J408" s="15"/>
      <c r="K408" s="15"/>
      <c r="L408" s="15"/>
      <c r="M408" s="15"/>
    </row>
    <row r="409" spans="1:13" ht="12.75">
      <c r="A409" s="31"/>
      <c r="B409" s="15"/>
      <c r="C409" s="15"/>
      <c r="D409" s="15"/>
      <c r="E409" s="15"/>
      <c r="F409" s="15"/>
      <c r="G409" s="15"/>
      <c r="H409" s="15"/>
      <c r="I409" s="15"/>
      <c r="J409" s="15"/>
      <c r="K409" s="15"/>
      <c r="L409" s="15"/>
      <c r="M409" s="15"/>
    </row>
    <row r="410" spans="1:13" ht="12.75">
      <c r="A410" s="31"/>
      <c r="B410" s="15"/>
      <c r="C410" s="15"/>
      <c r="D410" s="15"/>
      <c r="E410" s="15"/>
      <c r="F410" s="15"/>
      <c r="G410" s="15"/>
      <c r="H410" s="15"/>
      <c r="I410" s="15"/>
      <c r="J410" s="15"/>
      <c r="K410" s="15"/>
      <c r="L410" s="15"/>
      <c r="M410" s="15"/>
    </row>
    <row r="411" spans="1:13" ht="12.75">
      <c r="A411" s="31"/>
      <c r="B411" s="15"/>
      <c r="C411" s="15"/>
      <c r="D411" s="15"/>
      <c r="E411" s="15"/>
      <c r="F411" s="15"/>
      <c r="G411" s="15"/>
      <c r="H411" s="15"/>
      <c r="I411" s="15"/>
      <c r="J411" s="15"/>
      <c r="K411" s="15"/>
      <c r="L411" s="15"/>
      <c r="M411" s="15"/>
    </row>
    <row r="412" spans="1:13" ht="12.75">
      <c r="A412" s="31"/>
      <c r="B412" s="15"/>
      <c r="C412" s="15"/>
      <c r="D412" s="15"/>
      <c r="E412" s="15"/>
      <c r="F412" s="15"/>
      <c r="G412" s="15"/>
      <c r="H412" s="15"/>
      <c r="I412" s="15"/>
      <c r="J412" s="15"/>
      <c r="K412" s="15"/>
      <c r="L412" s="15"/>
      <c r="M412" s="15"/>
    </row>
    <row r="413" spans="1:13" ht="12.75">
      <c r="A413" s="31"/>
      <c r="B413" s="15"/>
      <c r="C413" s="15"/>
      <c r="D413" s="15"/>
      <c r="E413" s="15"/>
      <c r="F413" s="15"/>
      <c r="G413" s="15"/>
      <c r="H413" s="15"/>
      <c r="I413" s="15"/>
      <c r="J413" s="15"/>
      <c r="K413" s="15"/>
      <c r="L413" s="15"/>
      <c r="M413" s="15"/>
    </row>
    <row r="414" spans="1:13" ht="12.75">
      <c r="A414" s="31"/>
      <c r="B414" s="15"/>
      <c r="C414" s="15"/>
      <c r="D414" s="15"/>
      <c r="E414" s="15"/>
      <c r="F414" s="15"/>
      <c r="G414" s="15"/>
      <c r="H414" s="15"/>
      <c r="I414" s="15"/>
      <c r="J414" s="15"/>
      <c r="K414" s="15"/>
      <c r="L414" s="15"/>
      <c r="M414" s="15"/>
    </row>
    <row r="415" spans="1:13" ht="12.75">
      <c r="A415" s="31"/>
      <c r="B415" s="15"/>
      <c r="C415" s="15"/>
      <c r="D415" s="15"/>
      <c r="E415" s="15"/>
      <c r="F415" s="15"/>
      <c r="G415" s="15"/>
      <c r="H415" s="15"/>
      <c r="I415" s="15"/>
      <c r="J415" s="15"/>
      <c r="K415" s="15"/>
      <c r="L415" s="15"/>
      <c r="M415" s="15"/>
    </row>
    <row r="416" spans="1:13" ht="12.75">
      <c r="A416" s="31"/>
      <c r="B416" s="15"/>
      <c r="C416" s="15"/>
      <c r="D416" s="15"/>
      <c r="E416" s="15"/>
      <c r="F416" s="15"/>
      <c r="G416" s="15"/>
      <c r="H416" s="15"/>
      <c r="I416" s="15"/>
      <c r="J416" s="15"/>
      <c r="K416" s="15"/>
      <c r="L416" s="15"/>
      <c r="M416" s="15"/>
    </row>
    <row r="417" spans="1:13" ht="12.75">
      <c r="A417" s="31"/>
      <c r="B417" s="15"/>
      <c r="C417" s="15"/>
      <c r="D417" s="15"/>
      <c r="E417" s="15"/>
      <c r="F417" s="15"/>
      <c r="G417" s="15"/>
      <c r="H417" s="15"/>
      <c r="I417" s="15"/>
      <c r="J417" s="15"/>
      <c r="K417" s="15"/>
      <c r="L417" s="15"/>
      <c r="M417" s="15"/>
    </row>
    <row r="418" spans="1:13" ht="12.75">
      <c r="A418" s="31"/>
      <c r="B418" s="15"/>
      <c r="C418" s="15"/>
      <c r="D418" s="15"/>
      <c r="E418" s="15"/>
      <c r="F418" s="15"/>
      <c r="G418" s="15"/>
      <c r="H418" s="15"/>
      <c r="I418" s="15"/>
      <c r="J418" s="15"/>
      <c r="K418" s="15"/>
      <c r="L418" s="15"/>
      <c r="M418" s="15"/>
    </row>
    <row r="419" spans="1:13" ht="12.75">
      <c r="A419" s="31"/>
      <c r="B419" s="15"/>
      <c r="C419" s="15"/>
      <c r="D419" s="15"/>
      <c r="E419" s="15"/>
      <c r="F419" s="15"/>
      <c r="G419" s="15"/>
      <c r="H419" s="15"/>
      <c r="I419" s="15"/>
      <c r="J419" s="15"/>
      <c r="K419" s="15"/>
      <c r="L419" s="15"/>
      <c r="M419" s="15"/>
    </row>
    <row r="420" spans="1:13" ht="12.75">
      <c r="A420" s="31"/>
      <c r="B420" s="15"/>
      <c r="C420" s="15"/>
      <c r="D420" s="15"/>
      <c r="E420" s="15"/>
      <c r="F420" s="15"/>
      <c r="G420" s="15"/>
      <c r="H420" s="15"/>
      <c r="I420" s="15"/>
      <c r="J420" s="15"/>
      <c r="K420" s="15"/>
      <c r="L420" s="15"/>
      <c r="M420" s="15"/>
    </row>
    <row r="421" spans="1:13" ht="12.75">
      <c r="A421" s="31"/>
      <c r="B421" s="15"/>
      <c r="C421" s="15"/>
      <c r="D421" s="15"/>
      <c r="E421" s="15"/>
      <c r="F421" s="15"/>
      <c r="G421" s="15"/>
      <c r="H421" s="15"/>
      <c r="I421" s="15"/>
      <c r="J421" s="15"/>
      <c r="K421" s="15"/>
      <c r="L421" s="15"/>
      <c r="M421" s="15"/>
    </row>
    <row r="422" spans="1:13" ht="12.75">
      <c r="A422" s="31"/>
      <c r="B422" s="15"/>
      <c r="C422" s="15"/>
      <c r="D422" s="15"/>
      <c r="E422" s="15"/>
      <c r="F422" s="15"/>
      <c r="G422" s="15"/>
      <c r="H422" s="15"/>
      <c r="I422" s="15"/>
      <c r="J422" s="15"/>
      <c r="K422" s="15"/>
      <c r="L422" s="15"/>
      <c r="M422" s="15"/>
    </row>
    <row r="423" ht="12.75">
      <c r="A423" s="31"/>
    </row>
    <row r="424" ht="12.75">
      <c r="A424" s="31"/>
    </row>
    <row r="425" ht="12.75">
      <c r="A425" s="31"/>
    </row>
    <row r="426" ht="12.75">
      <c r="A426" s="31"/>
    </row>
    <row r="427" ht="12.75">
      <c r="A427" s="31"/>
    </row>
    <row r="428" ht="12.75">
      <c r="A428" s="31"/>
    </row>
    <row r="429" ht="12.75">
      <c r="A429" s="31"/>
    </row>
    <row r="430" ht="12.75">
      <c r="A430" s="31"/>
    </row>
    <row r="431" ht="12.75">
      <c r="A431" s="31"/>
    </row>
    <row r="432" ht="12.75">
      <c r="A432" s="31"/>
    </row>
    <row r="433" ht="12.75">
      <c r="A433" s="31"/>
    </row>
    <row r="434" ht="12.75">
      <c r="A434" s="31"/>
    </row>
    <row r="435" ht="12.75">
      <c r="A435" s="31"/>
    </row>
    <row r="436" ht="12.75">
      <c r="A436" s="31"/>
    </row>
    <row r="437" ht="12.75">
      <c r="A437" s="31"/>
    </row>
    <row r="438" ht="12.75">
      <c r="A438" s="31"/>
    </row>
    <row r="439" ht="12.75">
      <c r="A439" s="31"/>
    </row>
    <row r="440" ht="12.75">
      <c r="A440" s="31"/>
    </row>
    <row r="441" ht="12.75">
      <c r="A441" s="31"/>
    </row>
    <row r="442" ht="12.75">
      <c r="A442" s="31"/>
    </row>
    <row r="443" ht="12.75">
      <c r="A443" s="31"/>
    </row>
    <row r="444" ht="12.75">
      <c r="A444" s="31"/>
    </row>
    <row r="445" ht="12.75">
      <c r="A445" s="31"/>
    </row>
    <row r="446" ht="12.75">
      <c r="A446" s="31"/>
    </row>
    <row r="447" ht="12.75">
      <c r="A447" s="31"/>
    </row>
    <row r="448" ht="12.75">
      <c r="A448" s="31"/>
    </row>
    <row r="449" ht="12.75">
      <c r="A449" s="31"/>
    </row>
    <row r="450" ht="12.75">
      <c r="A450" s="31"/>
    </row>
    <row r="451" ht="12.75">
      <c r="A451" s="31"/>
    </row>
    <row r="452" ht="12.75">
      <c r="A452" s="31"/>
    </row>
    <row r="453" ht="12.75">
      <c r="A453" s="31"/>
    </row>
    <row r="454" ht="12.75">
      <c r="A454" s="31"/>
    </row>
    <row r="455" ht="12.75">
      <c r="A455" s="31"/>
    </row>
    <row r="456" ht="12.75">
      <c r="A456" s="31"/>
    </row>
    <row r="457" ht="12.75">
      <c r="A457" s="31"/>
    </row>
    <row r="458" ht="12.75">
      <c r="A458" s="31"/>
    </row>
    <row r="459" ht="12.75">
      <c r="A459" s="31"/>
    </row>
    <row r="460" ht="12.75">
      <c r="A460" s="31"/>
    </row>
    <row r="461" ht="12.75">
      <c r="A461" s="31"/>
    </row>
    <row r="462" ht="12.75">
      <c r="A462" s="31"/>
    </row>
    <row r="463" ht="12.75">
      <c r="A463" s="31"/>
    </row>
    <row r="464" ht="12.75">
      <c r="A464" s="31"/>
    </row>
    <row r="465" ht="12.75">
      <c r="A465" s="31"/>
    </row>
    <row r="466" ht="12.75">
      <c r="A466" s="31"/>
    </row>
    <row r="467" ht="12.75">
      <c r="A467" s="31"/>
    </row>
    <row r="468" ht="12.75">
      <c r="A468" s="31"/>
    </row>
    <row r="469" ht="12.75">
      <c r="A469" s="31"/>
    </row>
    <row r="470" ht="12.75">
      <c r="A470" s="31"/>
    </row>
    <row r="471" ht="12.75">
      <c r="A471" s="31"/>
    </row>
    <row r="472" ht="12.75">
      <c r="A472" s="31"/>
    </row>
    <row r="473" ht="12.75">
      <c r="A473" s="31"/>
    </row>
    <row r="474" ht="12.75">
      <c r="A474" s="31"/>
    </row>
    <row r="475" ht="12.75">
      <c r="A475" s="31"/>
    </row>
    <row r="476" ht="12.75">
      <c r="A476" s="31"/>
    </row>
    <row r="477" ht="12.75">
      <c r="A477" s="31"/>
    </row>
    <row r="478" ht="12.75">
      <c r="A478" s="31"/>
    </row>
    <row r="479" ht="12.75">
      <c r="A479" s="31"/>
    </row>
    <row r="480" ht="12.75">
      <c r="A480" s="31"/>
    </row>
    <row r="481" ht="12.75">
      <c r="A481" s="31"/>
    </row>
    <row r="482" ht="12.75">
      <c r="A482" s="31"/>
    </row>
    <row r="483" ht="12.75">
      <c r="A483" s="31"/>
    </row>
    <row r="484" ht="12.75">
      <c r="A484" s="31"/>
    </row>
    <row r="485" ht="12.75">
      <c r="A485" s="31"/>
    </row>
    <row r="486" ht="12.75">
      <c r="A486" s="31"/>
    </row>
    <row r="487" ht="12.75">
      <c r="A487" s="31"/>
    </row>
    <row r="488" ht="12.75">
      <c r="A488" s="31"/>
    </row>
    <row r="489" ht="12.75">
      <c r="A489" s="31"/>
    </row>
    <row r="490" ht="12.75">
      <c r="A490" s="31"/>
    </row>
    <row r="491" ht="12.75">
      <c r="A491" s="31"/>
    </row>
    <row r="492" ht="12.75">
      <c r="A492" s="31"/>
    </row>
    <row r="493" ht="12.75">
      <c r="A493" s="31"/>
    </row>
    <row r="494" ht="12.75">
      <c r="A494" s="31"/>
    </row>
    <row r="495" ht="12.75">
      <c r="A495" s="31"/>
    </row>
    <row r="496" ht="12.75">
      <c r="A496" s="31"/>
    </row>
    <row r="497" ht="12.75">
      <c r="A497" s="31"/>
    </row>
    <row r="498" ht="12.75">
      <c r="A498" s="31"/>
    </row>
    <row r="499" ht="12.75">
      <c r="A499" s="31"/>
    </row>
    <row r="500" ht="12.75">
      <c r="A500" s="31"/>
    </row>
    <row r="501" ht="12.75">
      <c r="A501" s="31"/>
    </row>
    <row r="502" ht="12.75">
      <c r="A502" s="31"/>
    </row>
    <row r="503" ht="12.75">
      <c r="A503" s="31"/>
    </row>
    <row r="504" ht="12.75">
      <c r="A504" s="31"/>
    </row>
    <row r="505" ht="12.75">
      <c r="A505" s="31"/>
    </row>
    <row r="506" ht="12.75">
      <c r="A506" s="31"/>
    </row>
    <row r="507" ht="12.75">
      <c r="A507" s="31"/>
    </row>
    <row r="508" ht="12.75">
      <c r="A508" s="31"/>
    </row>
    <row r="509" ht="12.75">
      <c r="A509" s="31"/>
    </row>
    <row r="510" ht="12.75">
      <c r="A510" s="31"/>
    </row>
    <row r="511" ht="12.75">
      <c r="A511" s="31"/>
    </row>
    <row r="512" ht="12.75">
      <c r="A512" s="31"/>
    </row>
    <row r="513" ht="12.75">
      <c r="A513" s="31"/>
    </row>
    <row r="514" ht="12.75">
      <c r="A514" s="31"/>
    </row>
    <row r="515" ht="12.75">
      <c r="A515" s="31"/>
    </row>
    <row r="516" ht="12.75">
      <c r="A516" s="31"/>
    </row>
    <row r="517" ht="12.75">
      <c r="A517" s="31"/>
    </row>
    <row r="518" ht="12.75">
      <c r="A518" s="31"/>
    </row>
    <row r="519" ht="12.75">
      <c r="A519" s="31"/>
    </row>
    <row r="520" ht="12.75">
      <c r="A520" s="31"/>
    </row>
    <row r="521" ht="12.75">
      <c r="A521" s="31"/>
    </row>
    <row r="522" ht="12.75">
      <c r="A522" s="31"/>
    </row>
    <row r="523" ht="12.75">
      <c r="A523" s="31"/>
    </row>
    <row r="524" ht="12.75">
      <c r="A524" s="31"/>
    </row>
    <row r="525" ht="12.75">
      <c r="A525" s="31"/>
    </row>
    <row r="526" ht="12.75">
      <c r="A526" s="31"/>
    </row>
    <row r="527" ht="12.75">
      <c r="A527" s="31"/>
    </row>
    <row r="528" ht="12.75">
      <c r="A528" s="31"/>
    </row>
    <row r="529" ht="12.75">
      <c r="A529" s="31"/>
    </row>
    <row r="530" ht="12.75">
      <c r="A530" s="31"/>
    </row>
    <row r="531" ht="12.75">
      <c r="A531" s="31"/>
    </row>
    <row r="532" ht="12.75">
      <c r="A532" s="31"/>
    </row>
    <row r="533" ht="12.75">
      <c r="A533" s="31"/>
    </row>
    <row r="534" ht="12.75">
      <c r="A534" s="31"/>
    </row>
    <row r="535" ht="12.75">
      <c r="A535" s="31"/>
    </row>
    <row r="536" ht="12.75">
      <c r="A536" s="31"/>
    </row>
    <row r="537" ht="12.75">
      <c r="A537" s="31"/>
    </row>
    <row r="538" ht="12.75">
      <c r="A538" s="31"/>
    </row>
    <row r="539" ht="12.75">
      <c r="A539" s="31"/>
    </row>
    <row r="540" ht="12.75">
      <c r="A540" s="31"/>
    </row>
    <row r="541" ht="12.75">
      <c r="A541" s="31"/>
    </row>
    <row r="542" ht="12.75">
      <c r="A542" s="31"/>
    </row>
    <row r="543" ht="12.75">
      <c r="A543" s="31"/>
    </row>
    <row r="544" ht="12.75">
      <c r="A544" s="31"/>
    </row>
    <row r="545" ht="12.75">
      <c r="A545" s="31"/>
    </row>
    <row r="546" ht="12.75">
      <c r="A546" s="31"/>
    </row>
    <row r="547" ht="12.75">
      <c r="A547" s="31"/>
    </row>
    <row r="548" ht="12.75">
      <c r="A548" s="31"/>
    </row>
    <row r="549" ht="12.75">
      <c r="A549" s="31"/>
    </row>
    <row r="550" ht="12.75">
      <c r="A550" s="31"/>
    </row>
    <row r="551" ht="12.75">
      <c r="A551" s="31"/>
    </row>
    <row r="552" ht="12.75">
      <c r="A552" s="31"/>
    </row>
    <row r="553" ht="12.75">
      <c r="A553" s="31"/>
    </row>
    <row r="554" ht="12.75">
      <c r="A554" s="31"/>
    </row>
    <row r="555" ht="12.75">
      <c r="A555" s="31"/>
    </row>
    <row r="556" ht="12.75">
      <c r="A556" s="31"/>
    </row>
    <row r="557" ht="12.75">
      <c r="A557" s="31"/>
    </row>
    <row r="558" ht="12.75">
      <c r="A558" s="31"/>
    </row>
    <row r="559" ht="12.75">
      <c r="A559" s="31"/>
    </row>
    <row r="560" ht="12.75">
      <c r="A560" s="31"/>
    </row>
    <row r="561" ht="12.75">
      <c r="A561" s="31"/>
    </row>
    <row r="562" ht="12.75">
      <c r="A562" s="31"/>
    </row>
    <row r="563" ht="12.75">
      <c r="A563" s="31"/>
    </row>
    <row r="564" ht="12.75">
      <c r="A564" s="31"/>
    </row>
    <row r="565" ht="12.75">
      <c r="A565" s="31"/>
    </row>
    <row r="566" ht="12.75">
      <c r="A566" s="31"/>
    </row>
    <row r="567" ht="12.75">
      <c r="A567" s="31"/>
    </row>
    <row r="568" ht="12.75">
      <c r="A568" s="31"/>
    </row>
    <row r="569" ht="12.75">
      <c r="A569" s="31"/>
    </row>
    <row r="570" ht="12.75">
      <c r="A570" s="31"/>
    </row>
    <row r="571" ht="12.75">
      <c r="A571" s="31"/>
    </row>
    <row r="572" ht="12.75">
      <c r="A572" s="31"/>
    </row>
    <row r="573" ht="12.75">
      <c r="A573" s="31"/>
    </row>
    <row r="574" ht="12.75">
      <c r="A574" s="31"/>
    </row>
    <row r="575" ht="12.75">
      <c r="A575" s="31"/>
    </row>
    <row r="576" ht="12.75">
      <c r="A576" s="31"/>
    </row>
    <row r="577" ht="12.75">
      <c r="A577" s="31"/>
    </row>
    <row r="578" ht="12.75">
      <c r="A578" s="31"/>
    </row>
    <row r="579" ht="12.75">
      <c r="A579" s="31"/>
    </row>
    <row r="580" ht="12.75">
      <c r="A580" s="31"/>
    </row>
    <row r="581" ht="12.75">
      <c r="A581" s="31"/>
    </row>
    <row r="582" ht="12.75">
      <c r="A582" s="31"/>
    </row>
    <row r="583" ht="12.75">
      <c r="A583" s="31"/>
    </row>
    <row r="584" ht="12.75">
      <c r="A584" s="31"/>
    </row>
    <row r="585" ht="12.75">
      <c r="A585" s="31"/>
    </row>
    <row r="586" ht="12.75">
      <c r="A586" s="31"/>
    </row>
    <row r="587" ht="12.75">
      <c r="A587" s="31"/>
    </row>
    <row r="588" ht="12.75">
      <c r="A588" s="31"/>
    </row>
    <row r="589" ht="12.75">
      <c r="A589" s="31"/>
    </row>
    <row r="590" ht="12.75">
      <c r="A590" s="31"/>
    </row>
    <row r="591" ht="12.75">
      <c r="A591" s="31"/>
    </row>
    <row r="592" ht="12.75">
      <c r="A592" s="31"/>
    </row>
    <row r="593" ht="12.75">
      <c r="A593" s="31"/>
    </row>
    <row r="594" ht="12.75">
      <c r="A594" s="31"/>
    </row>
    <row r="595" ht="12.75">
      <c r="A595" s="31"/>
    </row>
    <row r="596" ht="12.75">
      <c r="A596" s="31"/>
    </row>
    <row r="597" ht="12.75">
      <c r="A597" s="31"/>
    </row>
    <row r="598" ht="12.75">
      <c r="A598" s="31"/>
    </row>
    <row r="599" ht="12.75">
      <c r="A599" s="31"/>
    </row>
    <row r="600" ht="12.75">
      <c r="A600" s="31"/>
    </row>
    <row r="601" ht="12.75">
      <c r="A601" s="31"/>
    </row>
    <row r="602" ht="12.75">
      <c r="A602" s="31"/>
    </row>
    <row r="603" ht="12.75">
      <c r="A603" s="31"/>
    </row>
    <row r="604" ht="12.75">
      <c r="A604" s="31"/>
    </row>
    <row r="605" ht="12.75">
      <c r="A605" s="31"/>
    </row>
    <row r="606" ht="12.75">
      <c r="A606" s="31"/>
    </row>
    <row r="607" ht="12.75">
      <c r="A607" s="31"/>
    </row>
    <row r="608" ht="12.75">
      <c r="A608" s="31"/>
    </row>
    <row r="609" ht="12.75">
      <c r="A609" s="31"/>
    </row>
    <row r="610" ht="12.75">
      <c r="A610" s="31"/>
    </row>
    <row r="611" ht="12.75">
      <c r="A611" s="31"/>
    </row>
    <row r="612" ht="12.75">
      <c r="A612" s="31"/>
    </row>
    <row r="613" ht="12.75">
      <c r="A613" s="31"/>
    </row>
    <row r="614" ht="12.75">
      <c r="A614" s="31"/>
    </row>
    <row r="615" ht="12.75">
      <c r="A615" s="31"/>
    </row>
    <row r="616" ht="12.75">
      <c r="A616" s="31"/>
    </row>
    <row r="617" ht="12.75">
      <c r="A617" s="31"/>
    </row>
    <row r="618" ht="12.75">
      <c r="A618" s="31"/>
    </row>
    <row r="619" ht="12.75">
      <c r="A619" s="31"/>
    </row>
    <row r="620" ht="12.75">
      <c r="A620" s="31"/>
    </row>
    <row r="621" ht="12.75">
      <c r="A621" s="31"/>
    </row>
    <row r="622" ht="12.75">
      <c r="A622" s="31"/>
    </row>
    <row r="623" ht="12.75">
      <c r="A623" s="31"/>
    </row>
    <row r="624" ht="12.75">
      <c r="A624" s="31"/>
    </row>
    <row r="625" ht="12.75">
      <c r="A625" s="31"/>
    </row>
    <row r="626" ht="12.75">
      <c r="A626" s="31"/>
    </row>
    <row r="627" ht="12.75">
      <c r="A627" s="31"/>
    </row>
    <row r="628" ht="12.75">
      <c r="A628" s="31"/>
    </row>
    <row r="629" ht="12.75">
      <c r="A629" s="31"/>
    </row>
    <row r="630" ht="12.75">
      <c r="A630" s="31"/>
    </row>
    <row r="631" ht="12.75">
      <c r="A631" s="31"/>
    </row>
    <row r="632" ht="12.75">
      <c r="A632" s="31"/>
    </row>
    <row r="633" ht="12.75">
      <c r="A633" s="31"/>
    </row>
    <row r="634" ht="12.75">
      <c r="A634" s="31"/>
    </row>
    <row r="635" ht="12.75">
      <c r="A635" s="31"/>
    </row>
    <row r="636" ht="12.75">
      <c r="A636" s="31"/>
    </row>
    <row r="637" ht="12.75">
      <c r="A637" s="31"/>
    </row>
    <row r="638" ht="12.75">
      <c r="A638" s="31"/>
    </row>
    <row r="639" ht="12.75">
      <c r="A639" s="31"/>
    </row>
    <row r="640" ht="12.75">
      <c r="A640" s="31"/>
    </row>
    <row r="641" ht="12.75">
      <c r="A641" s="31"/>
    </row>
    <row r="642" ht="12.75">
      <c r="A642" s="31"/>
    </row>
    <row r="643" ht="12.75">
      <c r="A643" s="31"/>
    </row>
    <row r="644" ht="12.75">
      <c r="A644" s="31"/>
    </row>
    <row r="645" ht="12.75">
      <c r="A645" s="31"/>
    </row>
    <row r="646" ht="12.75">
      <c r="A646" s="31"/>
    </row>
    <row r="647" ht="12.75">
      <c r="A647" s="31"/>
    </row>
    <row r="648" ht="12.75">
      <c r="A648" s="31"/>
    </row>
    <row r="649" ht="12.75">
      <c r="A649" s="31"/>
    </row>
    <row r="650" ht="12.75">
      <c r="A650" s="31"/>
    </row>
    <row r="651" ht="12.75">
      <c r="A651" s="31"/>
    </row>
    <row r="652" ht="12.75">
      <c r="A652" s="31"/>
    </row>
    <row r="653" ht="12.75">
      <c r="A653" s="31"/>
    </row>
    <row r="654" ht="12.75">
      <c r="A654" s="31"/>
    </row>
    <row r="655" ht="12.75">
      <c r="A655" s="31"/>
    </row>
    <row r="656" ht="12.75">
      <c r="A656" s="31"/>
    </row>
    <row r="657" ht="12.75">
      <c r="A657" s="31"/>
    </row>
    <row r="658" ht="12.75">
      <c r="A658" s="31"/>
    </row>
    <row r="659" ht="12.75">
      <c r="A659" s="31"/>
    </row>
    <row r="660" ht="12.75">
      <c r="A660" s="31"/>
    </row>
    <row r="661" ht="12.75">
      <c r="A661" s="31"/>
    </row>
    <row r="662" ht="12.75">
      <c r="A662" s="31"/>
    </row>
    <row r="663" ht="12.75">
      <c r="A663" s="31"/>
    </row>
    <row r="664" ht="12.75">
      <c r="A664" s="31"/>
    </row>
    <row r="665" ht="12.75">
      <c r="A665" s="31"/>
    </row>
    <row r="666" ht="12.75">
      <c r="A666" s="31"/>
    </row>
    <row r="667" ht="12.75">
      <c r="A667" s="31"/>
    </row>
    <row r="668" ht="12.75">
      <c r="A668" s="31"/>
    </row>
    <row r="669" ht="12.75">
      <c r="A669" s="31"/>
    </row>
    <row r="670" ht="12.75">
      <c r="A670" s="31"/>
    </row>
    <row r="671" ht="12.75">
      <c r="A671" s="31"/>
    </row>
    <row r="672" ht="12.75">
      <c r="A672" s="31"/>
    </row>
    <row r="673" ht="12.75">
      <c r="A673" s="31"/>
    </row>
    <row r="674" ht="12.75">
      <c r="A674" s="31"/>
    </row>
    <row r="675" ht="12.75">
      <c r="A675" s="31"/>
    </row>
    <row r="676" ht="12.75">
      <c r="A676" s="31"/>
    </row>
    <row r="677" ht="12.75">
      <c r="A677" s="31"/>
    </row>
    <row r="678" ht="12.75">
      <c r="A678" s="31"/>
    </row>
    <row r="679" ht="12.75">
      <c r="A679" s="31"/>
    </row>
    <row r="680" ht="12.75">
      <c r="A680" s="31"/>
    </row>
    <row r="681" ht="12.75">
      <c r="A681" s="31"/>
    </row>
    <row r="682" ht="12.75">
      <c r="A682" s="31"/>
    </row>
    <row r="683" ht="12.75">
      <c r="A683" s="31"/>
    </row>
    <row r="684" ht="12.75">
      <c r="A684" s="31"/>
    </row>
    <row r="685" ht="12.75">
      <c r="A685" s="31"/>
    </row>
    <row r="686" ht="12.75">
      <c r="A686" s="31"/>
    </row>
    <row r="687" ht="12.75">
      <c r="A687" s="31"/>
    </row>
    <row r="688" ht="12.75">
      <c r="A688" s="31"/>
    </row>
    <row r="689" ht="12.75">
      <c r="A689" s="31"/>
    </row>
    <row r="690" ht="12.75">
      <c r="A690" s="31"/>
    </row>
    <row r="691" ht="12.75">
      <c r="A691" s="31"/>
    </row>
    <row r="692" ht="12.75">
      <c r="A692" s="31"/>
    </row>
    <row r="693" ht="12.75">
      <c r="A693" s="31"/>
    </row>
    <row r="694" ht="12.75">
      <c r="A694" s="31"/>
    </row>
    <row r="695" ht="12.75">
      <c r="A695" s="31"/>
    </row>
    <row r="696" ht="12.75">
      <c r="A696" s="31"/>
    </row>
    <row r="697" ht="12.75">
      <c r="A697" s="31"/>
    </row>
    <row r="698" ht="12.75">
      <c r="A698" s="31"/>
    </row>
    <row r="699" ht="12.75">
      <c r="A699" s="31"/>
    </row>
    <row r="700" ht="12.75">
      <c r="A700" s="31"/>
    </row>
    <row r="701" ht="12.75">
      <c r="A701" s="31"/>
    </row>
    <row r="702" ht="12.75">
      <c r="A702" s="31"/>
    </row>
    <row r="703" ht="12.75">
      <c r="A703" s="31"/>
    </row>
    <row r="704" ht="12.75">
      <c r="A704" s="31"/>
    </row>
    <row r="705" ht="12.75">
      <c r="A705" s="31"/>
    </row>
    <row r="706" ht="12.75">
      <c r="A706" s="31"/>
    </row>
    <row r="707" ht="12.75">
      <c r="A707" s="31"/>
    </row>
    <row r="708" ht="12.75">
      <c r="A708" s="31"/>
    </row>
    <row r="709" ht="12.75">
      <c r="A709" s="31"/>
    </row>
    <row r="710" ht="12.75">
      <c r="A710" s="31"/>
    </row>
    <row r="711" ht="12.75">
      <c r="A711" s="31"/>
    </row>
    <row r="712" ht="12.75">
      <c r="A712" s="31"/>
    </row>
    <row r="713" ht="12.75">
      <c r="A713" s="31"/>
    </row>
    <row r="714" ht="12.75">
      <c r="A714" s="31"/>
    </row>
    <row r="715" ht="12.75">
      <c r="A715" s="31"/>
    </row>
    <row r="716" ht="12.75">
      <c r="A716" s="31"/>
    </row>
    <row r="717" ht="12.75">
      <c r="A717" s="31"/>
    </row>
    <row r="718" ht="12.75">
      <c r="A718" s="31"/>
    </row>
    <row r="719" ht="12.75">
      <c r="A719" s="31"/>
    </row>
    <row r="720" ht="12.75">
      <c r="A720" s="31"/>
    </row>
    <row r="721" ht="12.75">
      <c r="A721" s="31"/>
    </row>
    <row r="722" ht="12.75">
      <c r="A722" s="31"/>
    </row>
    <row r="723" ht="12.75">
      <c r="A723" s="31"/>
    </row>
    <row r="724" ht="12.75">
      <c r="A724" s="31"/>
    </row>
    <row r="725" ht="12.75">
      <c r="A725" s="31"/>
    </row>
    <row r="726" ht="12.75">
      <c r="A726" s="31"/>
    </row>
    <row r="727" ht="12.75">
      <c r="A727" s="31"/>
    </row>
    <row r="728" ht="12.75">
      <c r="A728" s="31"/>
    </row>
    <row r="729" ht="12.75">
      <c r="A729" s="31"/>
    </row>
    <row r="730" ht="12.75">
      <c r="A730" s="31"/>
    </row>
    <row r="731" ht="12.75">
      <c r="A731" s="31"/>
    </row>
    <row r="732" ht="12.75">
      <c r="A732" s="31"/>
    </row>
    <row r="733" ht="12.75">
      <c r="A733" s="31"/>
    </row>
    <row r="734" ht="12.75">
      <c r="A734" s="31"/>
    </row>
    <row r="735" ht="12.75">
      <c r="A735" s="31"/>
    </row>
    <row r="736" ht="12.75">
      <c r="A736" s="31"/>
    </row>
    <row r="737" ht="12.75">
      <c r="A737" s="31"/>
    </row>
    <row r="738" ht="12.75">
      <c r="A738" s="31"/>
    </row>
    <row r="739" ht="12.75">
      <c r="A739" s="31"/>
    </row>
    <row r="740" ht="12.75">
      <c r="A740" s="31"/>
    </row>
    <row r="741" ht="12.75">
      <c r="A741" s="31"/>
    </row>
    <row r="742" ht="12.75">
      <c r="A742" s="31"/>
    </row>
    <row r="743" ht="12.75">
      <c r="A743" s="31"/>
    </row>
    <row r="744" ht="12.75">
      <c r="A744" s="31"/>
    </row>
    <row r="745" ht="12.75">
      <c r="A745" s="31"/>
    </row>
    <row r="746" ht="12.75">
      <c r="A746" s="31"/>
    </row>
    <row r="747" ht="12.75">
      <c r="A747" s="31"/>
    </row>
    <row r="748" ht="12.75">
      <c r="A748" s="31"/>
    </row>
    <row r="749" ht="12.75">
      <c r="A749" s="31"/>
    </row>
    <row r="750" ht="12.75">
      <c r="A750" s="31"/>
    </row>
    <row r="751" ht="12.75">
      <c r="A751" s="31"/>
    </row>
    <row r="752" ht="12.75">
      <c r="A752" s="31"/>
    </row>
    <row r="753" ht="12.75">
      <c r="A753" s="31"/>
    </row>
    <row r="754" ht="12.75">
      <c r="A754" s="31"/>
    </row>
    <row r="755" ht="12.75">
      <c r="A755" s="31"/>
    </row>
    <row r="756" ht="12.75">
      <c r="A756" s="31"/>
    </row>
    <row r="757" ht="12.75">
      <c r="A757" s="31"/>
    </row>
    <row r="758" ht="12.75">
      <c r="A758" s="31"/>
    </row>
    <row r="759" ht="12.75">
      <c r="A759" s="31"/>
    </row>
    <row r="760" ht="12.75">
      <c r="A760" s="31"/>
    </row>
    <row r="761" ht="12.75">
      <c r="A761" s="31"/>
    </row>
    <row r="762" ht="12.75">
      <c r="A762" s="31"/>
    </row>
    <row r="763" ht="12.75">
      <c r="A763" s="31"/>
    </row>
    <row r="764" ht="12.75">
      <c r="A764" s="31"/>
    </row>
    <row r="765" ht="12.75">
      <c r="A765" s="31"/>
    </row>
    <row r="766" ht="12.75">
      <c r="A766" s="31"/>
    </row>
    <row r="767" ht="12.75">
      <c r="A767" s="31"/>
    </row>
    <row r="768" ht="12.75">
      <c r="A768" s="31"/>
    </row>
    <row r="769" ht="12.75">
      <c r="A769" s="31"/>
    </row>
    <row r="770" ht="12.75">
      <c r="A770" s="31"/>
    </row>
    <row r="771" ht="12.75">
      <c r="A771" s="31"/>
    </row>
    <row r="772" ht="12.75">
      <c r="A772" s="31"/>
    </row>
    <row r="773" ht="12.75">
      <c r="A773" s="31"/>
    </row>
    <row r="774" ht="12.75">
      <c r="A774" s="31"/>
    </row>
    <row r="775" ht="12.75">
      <c r="A775" s="31"/>
    </row>
    <row r="776" ht="12.75">
      <c r="A776" s="31"/>
    </row>
    <row r="777" ht="12.75">
      <c r="A777" s="31"/>
    </row>
    <row r="778" ht="12.75">
      <c r="A778" s="31"/>
    </row>
    <row r="779" ht="12.75">
      <c r="A779" s="31"/>
    </row>
    <row r="780" ht="12.75">
      <c r="A780" s="31"/>
    </row>
    <row r="781" ht="12.75">
      <c r="A781" s="31"/>
    </row>
    <row r="782" ht="12.75">
      <c r="A782" s="31"/>
    </row>
    <row r="783" ht="12.75">
      <c r="A783" s="31"/>
    </row>
    <row r="784" ht="12.75">
      <c r="A784" s="31"/>
    </row>
    <row r="785" ht="12.75">
      <c r="A785" s="31"/>
    </row>
    <row r="786" ht="12.75">
      <c r="A786" s="31"/>
    </row>
    <row r="787" ht="12.75">
      <c r="A787" s="31"/>
    </row>
    <row r="788" ht="12.75">
      <c r="A788" s="31"/>
    </row>
    <row r="789" ht="12.75">
      <c r="A789" s="31"/>
    </row>
    <row r="790" ht="12.75">
      <c r="A790" s="31"/>
    </row>
    <row r="791" ht="12.75">
      <c r="A791" s="31"/>
    </row>
    <row r="792" ht="12.75">
      <c r="A792" s="31"/>
    </row>
    <row r="793" ht="12.75">
      <c r="A793" s="31"/>
    </row>
    <row r="794" ht="12.75">
      <c r="A794" s="31"/>
    </row>
    <row r="795" ht="12.75">
      <c r="A795" s="31"/>
    </row>
    <row r="796" ht="12.75">
      <c r="A796" s="31"/>
    </row>
    <row r="797" ht="12.75">
      <c r="A797" s="31"/>
    </row>
    <row r="798" ht="12.75">
      <c r="A798" s="31"/>
    </row>
    <row r="799" ht="12.75">
      <c r="A799" s="31"/>
    </row>
    <row r="800" ht="12.75">
      <c r="A800" s="31"/>
    </row>
    <row r="801" ht="12.75">
      <c r="A801" s="31"/>
    </row>
    <row r="802" ht="12.75">
      <c r="A802" s="31"/>
    </row>
    <row r="803" ht="12.75">
      <c r="A803" s="31"/>
    </row>
    <row r="804" ht="12.75">
      <c r="A804" s="31"/>
    </row>
    <row r="805" ht="12.75">
      <c r="A805" s="31"/>
    </row>
    <row r="806" ht="12.75">
      <c r="A806" s="31"/>
    </row>
    <row r="807" ht="12.75">
      <c r="A807" s="31"/>
    </row>
    <row r="808" ht="12.75">
      <c r="A808" s="31"/>
    </row>
    <row r="809" ht="12.75">
      <c r="A809" s="31"/>
    </row>
    <row r="810" ht="12.75">
      <c r="A810" s="31"/>
    </row>
    <row r="811" ht="12.75">
      <c r="A811" s="31"/>
    </row>
    <row r="812" ht="12.75">
      <c r="A812" s="31"/>
    </row>
    <row r="813" ht="12.75">
      <c r="A813" s="31"/>
    </row>
    <row r="814" ht="12.75">
      <c r="A814" s="31"/>
    </row>
    <row r="815" ht="12.75">
      <c r="A815" s="31"/>
    </row>
    <row r="816" ht="12.75">
      <c r="A816" s="31"/>
    </row>
    <row r="817" ht="12.75">
      <c r="A817" s="31"/>
    </row>
    <row r="818" ht="12.75">
      <c r="A818" s="31"/>
    </row>
    <row r="819" ht="12.75">
      <c r="A819" s="31"/>
    </row>
    <row r="820" ht="12.75">
      <c r="A820" s="31"/>
    </row>
    <row r="821" ht="12.75">
      <c r="A821" s="31"/>
    </row>
    <row r="822" ht="12.75">
      <c r="A822" s="31"/>
    </row>
    <row r="823" ht="12.75">
      <c r="A823" s="31"/>
    </row>
    <row r="824" ht="12.75">
      <c r="A824" s="31"/>
    </row>
    <row r="825" ht="12.75">
      <c r="A825" s="31"/>
    </row>
    <row r="826" ht="12.75">
      <c r="A826" s="31"/>
    </row>
    <row r="827" ht="12.75">
      <c r="A827" s="31"/>
    </row>
    <row r="828" ht="12.75">
      <c r="A828" s="31"/>
    </row>
    <row r="829" ht="12.75">
      <c r="A829" s="31"/>
    </row>
    <row r="830" ht="12.75">
      <c r="A830" s="31"/>
    </row>
    <row r="831" ht="12.75">
      <c r="A831" s="31"/>
    </row>
    <row r="832" ht="12.75">
      <c r="A832" s="31"/>
    </row>
    <row r="833" ht="12.75">
      <c r="A833" s="31"/>
    </row>
    <row r="834" ht="12.75">
      <c r="A834" s="31"/>
    </row>
    <row r="835" ht="12.75">
      <c r="A835" s="31"/>
    </row>
    <row r="836" ht="12.75">
      <c r="A836" s="31"/>
    </row>
    <row r="837" ht="12.75">
      <c r="A837" s="31"/>
    </row>
    <row r="838" ht="12.75">
      <c r="A838" s="31"/>
    </row>
    <row r="839" ht="12.75">
      <c r="A839" s="31"/>
    </row>
    <row r="840" ht="12.75">
      <c r="A840" s="31"/>
    </row>
    <row r="841" ht="12.75">
      <c r="A841" s="31"/>
    </row>
    <row r="842" ht="12.75">
      <c r="A842" s="31"/>
    </row>
    <row r="843" ht="12.75">
      <c r="A843" s="31"/>
    </row>
    <row r="844" ht="12.75">
      <c r="A844" s="31"/>
    </row>
    <row r="845" ht="12.75">
      <c r="A845" s="31"/>
    </row>
    <row r="846" ht="12.75">
      <c r="A846" s="31"/>
    </row>
    <row r="847" ht="12.75">
      <c r="A847" s="31"/>
    </row>
    <row r="848" ht="12.75">
      <c r="A848" s="31"/>
    </row>
    <row r="849" ht="12.75">
      <c r="A849" s="31"/>
    </row>
    <row r="850" ht="12.75">
      <c r="A850" s="31"/>
    </row>
    <row r="851" ht="12.75">
      <c r="A851" s="31"/>
    </row>
    <row r="852" ht="12.75">
      <c r="A852" s="31"/>
    </row>
    <row r="853" ht="12.75">
      <c r="A853" s="31"/>
    </row>
    <row r="854" ht="12.75">
      <c r="A854" s="31"/>
    </row>
    <row r="855" ht="12.75">
      <c r="A855" s="31"/>
    </row>
    <row r="856" ht="12.75">
      <c r="A856" s="31"/>
    </row>
    <row r="857" ht="12.75">
      <c r="A857" s="31"/>
    </row>
    <row r="858" ht="12.75">
      <c r="A858" s="31"/>
    </row>
    <row r="859" ht="12.75">
      <c r="A859" s="31"/>
    </row>
    <row r="860" ht="12.75">
      <c r="A860" s="31"/>
    </row>
    <row r="861" ht="12.75">
      <c r="A861" s="31"/>
    </row>
    <row r="862" ht="12.75">
      <c r="A862" s="31"/>
    </row>
    <row r="863" ht="12.75">
      <c r="A863" s="31"/>
    </row>
    <row r="864" ht="12.75">
      <c r="A864" s="31"/>
    </row>
    <row r="865" ht="12.75">
      <c r="A865" s="31"/>
    </row>
    <row r="866" ht="12.75">
      <c r="A866" s="31"/>
    </row>
    <row r="867" ht="12.75">
      <c r="A867" s="31"/>
    </row>
    <row r="868" ht="12.75">
      <c r="A868" s="31"/>
    </row>
    <row r="869" ht="12.75">
      <c r="A869" s="31"/>
    </row>
    <row r="870" ht="12.75">
      <c r="A870" s="31"/>
    </row>
    <row r="871" ht="12.75">
      <c r="A871" s="31"/>
    </row>
    <row r="872" ht="12.75">
      <c r="A872" s="31"/>
    </row>
    <row r="873" ht="12.75">
      <c r="A873" s="31"/>
    </row>
    <row r="874" ht="12.75">
      <c r="A874" s="31"/>
    </row>
    <row r="875" ht="12.75">
      <c r="A875" s="31"/>
    </row>
    <row r="876" ht="12.75">
      <c r="A876" s="31"/>
    </row>
    <row r="877" ht="12.75">
      <c r="A877" s="31"/>
    </row>
    <row r="878" ht="12.75">
      <c r="A878" s="31"/>
    </row>
    <row r="879" ht="12.75">
      <c r="A879" s="31"/>
    </row>
    <row r="880" ht="12.75">
      <c r="A880" s="31"/>
    </row>
    <row r="881" ht="12.75">
      <c r="A881" s="31"/>
    </row>
    <row r="882" ht="12.75">
      <c r="A882" s="31"/>
    </row>
    <row r="883" ht="12.75">
      <c r="A883" s="31"/>
    </row>
    <row r="884" ht="12.75">
      <c r="A884" s="31"/>
    </row>
    <row r="885" ht="12.75">
      <c r="A885" s="31"/>
    </row>
    <row r="886" ht="12.75">
      <c r="A886" s="31"/>
    </row>
    <row r="887" ht="12.75">
      <c r="A887" s="31"/>
    </row>
    <row r="888" ht="12.75">
      <c r="A888" s="31"/>
    </row>
    <row r="889" ht="12.75">
      <c r="A889" s="31"/>
    </row>
    <row r="890" ht="12.75">
      <c r="A890" s="31"/>
    </row>
    <row r="891" ht="12.75">
      <c r="A891" s="31"/>
    </row>
    <row r="892" ht="12.75">
      <c r="A892" s="31"/>
    </row>
    <row r="893" ht="12.75">
      <c r="A893" s="31"/>
    </row>
    <row r="894" ht="12.75">
      <c r="A894" s="31"/>
    </row>
    <row r="895" ht="12.75">
      <c r="A895" s="31"/>
    </row>
    <row r="896" ht="12.75">
      <c r="A896" s="31"/>
    </row>
    <row r="897" ht="12.75">
      <c r="A897" s="31"/>
    </row>
    <row r="898" ht="12.75">
      <c r="A898" s="31"/>
    </row>
    <row r="899" ht="12.75">
      <c r="A899" s="31"/>
    </row>
    <row r="900" ht="12.75">
      <c r="A900" s="31"/>
    </row>
    <row r="901" ht="12.75">
      <c r="A901" s="31"/>
    </row>
    <row r="902" ht="12.75">
      <c r="A902" s="31"/>
    </row>
    <row r="903" ht="12.75">
      <c r="A903" s="31"/>
    </row>
    <row r="904" ht="12.75">
      <c r="A904" s="31"/>
    </row>
    <row r="905" ht="12.75">
      <c r="A905" s="31"/>
    </row>
    <row r="906" ht="12.75">
      <c r="A906" s="31"/>
    </row>
    <row r="907" ht="12.75">
      <c r="A907" s="31"/>
    </row>
    <row r="908" ht="12.75">
      <c r="A908" s="31"/>
    </row>
    <row r="909" ht="12.75">
      <c r="A909" s="31"/>
    </row>
    <row r="910" ht="12.75">
      <c r="A910" s="31"/>
    </row>
    <row r="911" ht="12.75">
      <c r="A911" s="31"/>
    </row>
    <row r="912" ht="12.75">
      <c r="A912" s="31"/>
    </row>
    <row r="913" ht="12.75">
      <c r="A913" s="31"/>
    </row>
    <row r="914" ht="12.75">
      <c r="A914" s="31"/>
    </row>
    <row r="915" ht="12.75">
      <c r="A915" s="31"/>
    </row>
    <row r="916" ht="12.75">
      <c r="A916" s="31"/>
    </row>
    <row r="917" ht="12.75">
      <c r="A917" s="31"/>
    </row>
    <row r="918" ht="12.75">
      <c r="A918" s="31"/>
    </row>
    <row r="919" ht="12.75">
      <c r="A919" s="31"/>
    </row>
    <row r="920" ht="12.75">
      <c r="A920" s="31"/>
    </row>
    <row r="921" ht="12.75">
      <c r="A921" s="31"/>
    </row>
    <row r="922" ht="12.75">
      <c r="A922" s="31"/>
    </row>
    <row r="923" ht="12.75">
      <c r="A923" s="31"/>
    </row>
    <row r="924" ht="12.75">
      <c r="A924" s="31"/>
    </row>
    <row r="925" ht="12.75">
      <c r="A925" s="31"/>
    </row>
    <row r="926" ht="12.75">
      <c r="A926" s="31"/>
    </row>
    <row r="927" ht="12.75">
      <c r="A927" s="31"/>
    </row>
    <row r="928" ht="12.75">
      <c r="A928" s="31"/>
    </row>
    <row r="929" ht="12.75">
      <c r="A929" s="31"/>
    </row>
    <row r="930" ht="12.75">
      <c r="A930" s="31"/>
    </row>
    <row r="931" ht="12.75">
      <c r="A931" s="31"/>
    </row>
    <row r="932" ht="12.75">
      <c r="A932" s="31"/>
    </row>
    <row r="933" ht="12.75">
      <c r="A933" s="31"/>
    </row>
    <row r="934" ht="12.75">
      <c r="A934" s="31"/>
    </row>
    <row r="935" ht="12.75">
      <c r="A935" s="31"/>
    </row>
    <row r="936" ht="12.75">
      <c r="A936" s="31"/>
    </row>
    <row r="937" ht="12.75">
      <c r="A937" s="31"/>
    </row>
    <row r="938" ht="12.75">
      <c r="A938" s="31"/>
    </row>
    <row r="939" ht="12.75">
      <c r="A939" s="31"/>
    </row>
    <row r="940" ht="12.75">
      <c r="A940" s="31"/>
    </row>
    <row r="941" ht="12.75">
      <c r="A941" s="31"/>
    </row>
    <row r="942" ht="12.75">
      <c r="A942" s="31"/>
    </row>
    <row r="943" ht="12.75">
      <c r="A943" s="31"/>
    </row>
    <row r="944" ht="12.75">
      <c r="A944" s="31"/>
    </row>
    <row r="945" ht="12.75">
      <c r="A945" s="31"/>
    </row>
    <row r="946" ht="12.75">
      <c r="A946" s="31"/>
    </row>
    <row r="947" ht="12.75">
      <c r="A947" s="31"/>
    </row>
    <row r="948" ht="12.75">
      <c r="A948" s="31"/>
    </row>
    <row r="949" ht="12.75">
      <c r="A949" s="31"/>
    </row>
    <row r="950" ht="12.75">
      <c r="A950" s="31"/>
    </row>
    <row r="951" ht="12.75">
      <c r="A951" s="31"/>
    </row>
    <row r="952" ht="12.75">
      <c r="A952" s="31"/>
    </row>
    <row r="953" ht="12.75">
      <c r="A953" s="31"/>
    </row>
    <row r="954" ht="12.75">
      <c r="A954" s="31"/>
    </row>
    <row r="955" ht="12.75">
      <c r="A955" s="31"/>
    </row>
    <row r="956" ht="12.75">
      <c r="A956" s="31"/>
    </row>
    <row r="957" ht="12.75">
      <c r="A957" s="31"/>
    </row>
    <row r="958" ht="12.75">
      <c r="A958" s="31"/>
    </row>
    <row r="959" ht="12.75">
      <c r="A959" s="31"/>
    </row>
    <row r="960" ht="12.75">
      <c r="A960" s="31"/>
    </row>
    <row r="961" ht="12.75">
      <c r="A961" s="31"/>
    </row>
    <row r="962" ht="12.75">
      <c r="A962" s="31"/>
    </row>
    <row r="963" ht="12.75">
      <c r="A963" s="31"/>
    </row>
    <row r="964" ht="12.75">
      <c r="A964" s="31"/>
    </row>
    <row r="965" ht="12.75">
      <c r="A965" s="31"/>
    </row>
    <row r="966" ht="12.75">
      <c r="A966" s="31"/>
    </row>
    <row r="967" ht="12.75">
      <c r="A967" s="31"/>
    </row>
    <row r="968" ht="12.75">
      <c r="A968" s="31"/>
    </row>
    <row r="969" ht="12.75">
      <c r="A969" s="31"/>
    </row>
    <row r="970" ht="12.75">
      <c r="A970" s="31"/>
    </row>
    <row r="971" ht="12.75">
      <c r="A971" s="31"/>
    </row>
    <row r="972" ht="12.75">
      <c r="A972" s="31"/>
    </row>
    <row r="973" ht="12.75">
      <c r="A973" s="31"/>
    </row>
    <row r="974" ht="12.75">
      <c r="A974" s="31"/>
    </row>
    <row r="975" ht="12.75">
      <c r="A975" s="31"/>
    </row>
    <row r="976" ht="12.75">
      <c r="A976" s="31"/>
    </row>
    <row r="977" ht="12.75">
      <c r="A977" s="31"/>
    </row>
    <row r="978" ht="12.75">
      <c r="A978" s="31"/>
    </row>
    <row r="979" ht="12.75">
      <c r="A979" s="31"/>
    </row>
    <row r="980" ht="12.75">
      <c r="A980" s="31"/>
    </row>
    <row r="981" ht="12.75">
      <c r="A981" s="31"/>
    </row>
    <row r="982" ht="12.75">
      <c r="A982" s="31"/>
    </row>
    <row r="983" ht="12.75">
      <c r="A983" s="31"/>
    </row>
    <row r="984" ht="12.75">
      <c r="A984" s="31"/>
    </row>
    <row r="985" ht="12.75">
      <c r="A985" s="31"/>
    </row>
    <row r="986" ht="12.75">
      <c r="A986" s="31"/>
    </row>
    <row r="987" ht="12.75">
      <c r="A987" s="31"/>
    </row>
    <row r="988" ht="12.75">
      <c r="A988" s="31"/>
    </row>
    <row r="989" ht="12.75">
      <c r="A989" s="31"/>
    </row>
    <row r="990" ht="12.75">
      <c r="A990" s="31"/>
    </row>
    <row r="991" ht="12.75">
      <c r="A991" s="31"/>
    </row>
    <row r="992" ht="12.75">
      <c r="A992" s="31"/>
    </row>
    <row r="993" ht="12.75">
      <c r="A993" s="31"/>
    </row>
    <row r="994" ht="12.75">
      <c r="A994" s="31"/>
    </row>
    <row r="995" ht="12.75">
      <c r="A995" s="31"/>
    </row>
    <row r="996" ht="12.75">
      <c r="A996" s="31"/>
    </row>
    <row r="997" ht="12.75">
      <c r="A997" s="31"/>
    </row>
    <row r="998" ht="12.75">
      <c r="A998" s="31"/>
    </row>
    <row r="999" ht="12.75">
      <c r="A999" s="31"/>
    </row>
    <row r="1000" ht="12.75">
      <c r="A1000" s="31"/>
    </row>
    <row r="1001" ht="12.75">
      <c r="A1001" s="31"/>
    </row>
    <row r="1002" ht="12.75">
      <c r="A1002" s="31"/>
    </row>
    <row r="1003" ht="12.75">
      <c r="A1003" s="31"/>
    </row>
    <row r="1004" ht="12.75">
      <c r="A1004" s="31"/>
    </row>
    <row r="1005" ht="12.75">
      <c r="A1005" s="31"/>
    </row>
    <row r="1006" ht="12.75">
      <c r="A1006" s="31"/>
    </row>
    <row r="1007" ht="12.75">
      <c r="A1007" s="31"/>
    </row>
    <row r="1008" ht="12.75">
      <c r="A1008" s="31"/>
    </row>
    <row r="1009" ht="12.75">
      <c r="A1009" s="31"/>
    </row>
    <row r="1010" ht="12.75">
      <c r="A1010" s="31"/>
    </row>
    <row r="1011" ht="12.75">
      <c r="A1011" s="31"/>
    </row>
    <row r="1012" ht="12.75">
      <c r="A1012" s="31"/>
    </row>
    <row r="1013" ht="12.75">
      <c r="A1013" s="31"/>
    </row>
    <row r="1014" ht="12.75">
      <c r="A1014" s="31"/>
    </row>
    <row r="1015" ht="12.75">
      <c r="A1015" s="31"/>
    </row>
    <row r="1016" ht="12.75">
      <c r="A1016" s="31"/>
    </row>
    <row r="1017" ht="12.75">
      <c r="A1017" s="31"/>
    </row>
    <row r="1018" ht="12.75">
      <c r="A1018" s="31"/>
    </row>
    <row r="1019" ht="12.75">
      <c r="A1019" s="31"/>
    </row>
    <row r="1020" ht="12.75">
      <c r="A1020" s="31"/>
    </row>
    <row r="1021" ht="12.75">
      <c r="A1021" s="31"/>
    </row>
    <row r="1022" ht="12.75">
      <c r="A1022" s="31"/>
    </row>
    <row r="1023" ht="12.75">
      <c r="A1023" s="31"/>
    </row>
    <row r="1024" ht="12.75">
      <c r="A1024" s="31"/>
    </row>
    <row r="1025" ht="12.75">
      <c r="A1025" s="31"/>
    </row>
    <row r="1026" ht="12.75">
      <c r="A1026" s="31"/>
    </row>
    <row r="1027" ht="12.75">
      <c r="A1027" s="31"/>
    </row>
    <row r="1028" ht="12.75">
      <c r="A1028" s="31"/>
    </row>
    <row r="1029" ht="12.75">
      <c r="A1029" s="31"/>
    </row>
    <row r="1030" ht="12.75">
      <c r="A1030" s="31"/>
    </row>
    <row r="1031" ht="12.75">
      <c r="A1031" s="31"/>
    </row>
    <row r="1032" ht="12.75">
      <c r="A1032" s="31"/>
    </row>
    <row r="1033" ht="12.75">
      <c r="A1033" s="31"/>
    </row>
    <row r="1034" ht="12.75">
      <c r="A1034" s="31"/>
    </row>
    <row r="1035" ht="12.75">
      <c r="A1035" s="31"/>
    </row>
    <row r="1036" ht="12.75">
      <c r="A1036" s="31"/>
    </row>
    <row r="1037" ht="12.75">
      <c r="A1037" s="31"/>
    </row>
    <row r="1038" ht="12.75">
      <c r="A1038" s="31"/>
    </row>
    <row r="1039" ht="12.75">
      <c r="A1039" s="31"/>
    </row>
    <row r="1040" ht="12.75">
      <c r="A1040" s="31"/>
    </row>
    <row r="1041" ht="12.75">
      <c r="A1041" s="31"/>
    </row>
    <row r="1042" ht="12.75">
      <c r="A1042" s="31"/>
    </row>
    <row r="1043" ht="12.75">
      <c r="A1043" s="31"/>
    </row>
    <row r="1044" ht="12.75">
      <c r="A1044" s="31"/>
    </row>
    <row r="1045" ht="12.75">
      <c r="A1045" s="31"/>
    </row>
    <row r="1046" ht="12.75">
      <c r="A1046" s="31"/>
    </row>
    <row r="1047" ht="12.75">
      <c r="A1047" s="31"/>
    </row>
    <row r="1048" ht="12.75">
      <c r="A1048" s="31"/>
    </row>
    <row r="1049" ht="12.75">
      <c r="A1049" s="31"/>
    </row>
    <row r="1050" ht="12.75">
      <c r="A1050" s="31"/>
    </row>
    <row r="1051" ht="12.75">
      <c r="A1051" s="31"/>
    </row>
    <row r="1052" ht="12.75">
      <c r="A1052" s="31"/>
    </row>
    <row r="1053" ht="12.75">
      <c r="A1053" s="31"/>
    </row>
    <row r="1054" ht="12.75">
      <c r="A1054" s="31"/>
    </row>
    <row r="1055" ht="12.75">
      <c r="A1055" s="31"/>
    </row>
    <row r="1056" ht="12.75">
      <c r="A1056" s="31"/>
    </row>
    <row r="1057" ht="12.75">
      <c r="A1057" s="31"/>
    </row>
    <row r="1058" ht="12.75">
      <c r="A1058" s="31"/>
    </row>
    <row r="1059" ht="12.75">
      <c r="A1059" s="31"/>
    </row>
    <row r="1060" ht="12.75">
      <c r="A1060" s="31"/>
    </row>
    <row r="1061" ht="12.75">
      <c r="A1061" s="31"/>
    </row>
    <row r="1062" ht="12.75">
      <c r="A1062" s="31"/>
    </row>
    <row r="1063" ht="12.75">
      <c r="A1063" s="31"/>
    </row>
    <row r="1064" ht="12.75">
      <c r="A1064" s="31"/>
    </row>
    <row r="1065" ht="12.75">
      <c r="A1065" s="31"/>
    </row>
    <row r="1066" ht="12.75">
      <c r="A1066" s="31"/>
    </row>
    <row r="1067" ht="12.75">
      <c r="A1067" s="31"/>
    </row>
    <row r="1068" ht="12.75">
      <c r="A1068" s="31"/>
    </row>
    <row r="1069" ht="12.75">
      <c r="A1069" s="31"/>
    </row>
    <row r="1070" ht="12.75">
      <c r="A1070" s="31"/>
    </row>
    <row r="1071" ht="12.75">
      <c r="A1071" s="31"/>
    </row>
    <row r="1072" ht="12.75">
      <c r="A1072" s="31"/>
    </row>
    <row r="1073" ht="12.75">
      <c r="A1073" s="31"/>
    </row>
    <row r="1074" ht="12.75">
      <c r="A1074" s="31"/>
    </row>
    <row r="1075" ht="12.75">
      <c r="A1075" s="31"/>
    </row>
    <row r="1076" ht="12.75">
      <c r="A1076" s="31"/>
    </row>
    <row r="1077" ht="12.75">
      <c r="A1077" s="31"/>
    </row>
    <row r="1078" ht="12.75">
      <c r="A1078" s="31"/>
    </row>
    <row r="1079" ht="12.75">
      <c r="A1079" s="31"/>
    </row>
    <row r="1080" ht="12.75">
      <c r="A1080" s="31"/>
    </row>
    <row r="1081" ht="12.75">
      <c r="A1081" s="31"/>
    </row>
    <row r="1082" ht="12.75">
      <c r="A1082" s="31"/>
    </row>
    <row r="1083" ht="12.75">
      <c r="A1083" s="31"/>
    </row>
    <row r="1084" ht="12.75">
      <c r="A1084" s="31"/>
    </row>
    <row r="1085" ht="12.75">
      <c r="A1085" s="31"/>
    </row>
    <row r="1086" ht="12.75">
      <c r="A1086" s="31"/>
    </row>
    <row r="1087" ht="12.75">
      <c r="A1087" s="31"/>
    </row>
    <row r="1088" ht="12.75">
      <c r="A1088" s="31"/>
    </row>
    <row r="1089" ht="12.75">
      <c r="A1089" s="31"/>
    </row>
    <row r="1090" ht="12.75">
      <c r="A1090" s="31"/>
    </row>
    <row r="1091" ht="12.75">
      <c r="A1091" s="31"/>
    </row>
    <row r="1092" ht="12.75">
      <c r="A1092" s="31"/>
    </row>
    <row r="1093" ht="12.75">
      <c r="A1093" s="31"/>
    </row>
    <row r="1094" ht="12.75">
      <c r="A1094" s="31"/>
    </row>
    <row r="1095" ht="12.75">
      <c r="A1095" s="31"/>
    </row>
    <row r="1096" ht="12.75">
      <c r="A1096" s="31"/>
    </row>
    <row r="1097" ht="12.75">
      <c r="A1097" s="31"/>
    </row>
    <row r="1098" ht="12.75">
      <c r="A1098" s="31"/>
    </row>
    <row r="1099" ht="12.75">
      <c r="A1099" s="31"/>
    </row>
    <row r="1100" ht="12.75">
      <c r="A1100" s="31"/>
    </row>
    <row r="1101" ht="12.75">
      <c r="A1101" s="31"/>
    </row>
    <row r="1102" ht="12.75">
      <c r="A1102" s="31"/>
    </row>
    <row r="1103" ht="12.75">
      <c r="A1103" s="31"/>
    </row>
    <row r="1104" ht="12.75">
      <c r="A1104" s="31"/>
    </row>
    <row r="1105" ht="12.75">
      <c r="A1105" s="31"/>
    </row>
    <row r="1106" ht="12.75">
      <c r="A1106" s="31"/>
    </row>
    <row r="1107" ht="12.75">
      <c r="A1107" s="31"/>
    </row>
    <row r="1108" ht="12.75">
      <c r="A1108" s="31"/>
    </row>
    <row r="1109" ht="12.75">
      <c r="A1109" s="31"/>
    </row>
    <row r="1110" ht="12.75">
      <c r="A1110" s="31"/>
    </row>
    <row r="1111" ht="12.75">
      <c r="A1111" s="31"/>
    </row>
    <row r="1112" ht="12.75">
      <c r="A1112" s="31"/>
    </row>
    <row r="1113" ht="12.75">
      <c r="A1113" s="31"/>
    </row>
    <row r="1114" ht="12.75">
      <c r="A1114" s="31"/>
    </row>
    <row r="1115" ht="12.75">
      <c r="A1115" s="31"/>
    </row>
    <row r="1116" ht="12.75">
      <c r="A1116" s="31"/>
    </row>
    <row r="1117" ht="12.75">
      <c r="A1117" s="31"/>
    </row>
    <row r="1118" ht="12.75">
      <c r="A1118" s="31"/>
    </row>
    <row r="1119" ht="12.75">
      <c r="A1119" s="31"/>
    </row>
    <row r="1120" ht="12.75">
      <c r="A1120" s="31"/>
    </row>
    <row r="1121" ht="12.75">
      <c r="A1121" s="31"/>
    </row>
    <row r="1122" ht="12.75">
      <c r="A1122" s="31"/>
    </row>
    <row r="1123" ht="12.75">
      <c r="A1123" s="31"/>
    </row>
    <row r="1124" ht="12.75">
      <c r="A1124" s="31"/>
    </row>
    <row r="1125" ht="12.75">
      <c r="A1125" s="31"/>
    </row>
    <row r="1126" ht="12.75">
      <c r="A1126" s="31"/>
    </row>
    <row r="1127" ht="12.75">
      <c r="A1127" s="31"/>
    </row>
    <row r="1128" ht="12.75">
      <c r="A1128" s="31"/>
    </row>
    <row r="1129" ht="12.75">
      <c r="A1129" s="31"/>
    </row>
    <row r="1130" ht="12.75">
      <c r="A1130" s="31"/>
    </row>
    <row r="1131" ht="12.75">
      <c r="A1131" s="31"/>
    </row>
    <row r="1132" ht="12.75">
      <c r="A1132" s="31"/>
    </row>
    <row r="1133" ht="12.75">
      <c r="A1133" s="31"/>
    </row>
    <row r="1134" ht="12.75">
      <c r="A1134" s="31"/>
    </row>
    <row r="1135" ht="12.75">
      <c r="A1135" s="31"/>
    </row>
    <row r="1136" ht="12.75">
      <c r="A1136" s="31"/>
    </row>
    <row r="1137" ht="12.75">
      <c r="A1137" s="31"/>
    </row>
    <row r="1138" ht="12.75">
      <c r="A1138" s="31"/>
    </row>
    <row r="1139" ht="12.75">
      <c r="A1139" s="31"/>
    </row>
    <row r="1140" ht="12.75">
      <c r="A1140" s="31"/>
    </row>
    <row r="1141" ht="12.75">
      <c r="A1141" s="31"/>
    </row>
    <row r="1142" ht="12.75">
      <c r="A1142" s="31"/>
    </row>
    <row r="1143" ht="12.75">
      <c r="A1143" s="31"/>
    </row>
    <row r="1144" ht="12.75">
      <c r="A1144" s="31"/>
    </row>
    <row r="1145" ht="12.75">
      <c r="A1145" s="31"/>
    </row>
    <row r="1146" ht="12.75">
      <c r="A1146" s="31"/>
    </row>
    <row r="1147" ht="12.75">
      <c r="A1147" s="31"/>
    </row>
    <row r="1148" ht="12.75">
      <c r="A1148" s="31"/>
    </row>
    <row r="1149" ht="12.75">
      <c r="A1149" s="31"/>
    </row>
    <row r="1150" ht="12.75">
      <c r="A1150" s="31"/>
    </row>
    <row r="1151" ht="12.75">
      <c r="A1151" s="31"/>
    </row>
    <row r="1152" ht="12.75">
      <c r="A1152" s="31"/>
    </row>
    <row r="1153" ht="12.75">
      <c r="A1153" s="31"/>
    </row>
    <row r="1154" ht="12.75">
      <c r="A1154" s="31"/>
    </row>
    <row r="1155" ht="12.75">
      <c r="A1155" s="31"/>
    </row>
    <row r="1156" ht="12.75">
      <c r="A1156" s="31"/>
    </row>
    <row r="1157" ht="12.75">
      <c r="A1157" s="31"/>
    </row>
    <row r="1158" ht="12.75">
      <c r="A1158" s="31"/>
    </row>
    <row r="1159" ht="12.75">
      <c r="A1159" s="31"/>
    </row>
    <row r="1160" ht="12.75">
      <c r="A1160" s="31"/>
    </row>
    <row r="1161" ht="12.75">
      <c r="A1161" s="31"/>
    </row>
    <row r="1162" ht="12.75">
      <c r="A1162" s="31"/>
    </row>
    <row r="1163" ht="12.75">
      <c r="A1163" s="31"/>
    </row>
    <row r="1164" ht="12.75">
      <c r="A1164" s="31"/>
    </row>
    <row r="1165" ht="12.75">
      <c r="A1165" s="31"/>
    </row>
    <row r="1166" ht="12.75">
      <c r="A1166" s="31"/>
    </row>
    <row r="1167" ht="12.75">
      <c r="A1167" s="31"/>
    </row>
    <row r="1168" ht="12.75">
      <c r="A1168" s="31"/>
    </row>
    <row r="1169" ht="12.75">
      <c r="A1169" s="31"/>
    </row>
    <row r="1170" ht="12.75">
      <c r="A1170" s="31"/>
    </row>
    <row r="1171" ht="12.75">
      <c r="A1171" s="31"/>
    </row>
    <row r="1172" ht="12.75">
      <c r="A1172" s="31"/>
    </row>
    <row r="1173" ht="12.75">
      <c r="A1173" s="31"/>
    </row>
    <row r="1174" ht="12.75">
      <c r="A1174" s="31"/>
    </row>
    <row r="1175" ht="12.75">
      <c r="A1175" s="31"/>
    </row>
    <row r="1176" ht="12.75">
      <c r="A1176" s="31"/>
    </row>
    <row r="1177" ht="12.75">
      <c r="A1177" s="31"/>
    </row>
    <row r="1178" ht="12.75">
      <c r="A1178" s="31"/>
    </row>
    <row r="1179" ht="12.75">
      <c r="A1179" s="31"/>
    </row>
    <row r="1180" ht="12.75">
      <c r="A1180" s="31"/>
    </row>
    <row r="1181" ht="12.75">
      <c r="A1181" s="31"/>
    </row>
    <row r="1182" ht="12.75">
      <c r="A1182" s="31"/>
    </row>
    <row r="1183" ht="12.75">
      <c r="A1183" s="31"/>
    </row>
    <row r="1184" ht="12.75">
      <c r="A1184" s="31"/>
    </row>
    <row r="1185" ht="12.75">
      <c r="A1185" s="31"/>
    </row>
    <row r="1186" ht="12.75">
      <c r="A1186" s="31"/>
    </row>
    <row r="1187" ht="12.75">
      <c r="A1187" s="31"/>
    </row>
    <row r="1188" ht="12.75">
      <c r="A1188" s="31"/>
    </row>
    <row r="1189" ht="12.75">
      <c r="A1189" s="31"/>
    </row>
    <row r="1190" ht="12.75">
      <c r="A1190" s="31"/>
    </row>
    <row r="1191" ht="12.75">
      <c r="A1191" s="31"/>
    </row>
    <row r="1192" ht="12.75">
      <c r="A1192" s="31"/>
    </row>
    <row r="1193" ht="12.75">
      <c r="A1193" s="31"/>
    </row>
    <row r="1194" ht="12.75">
      <c r="A1194" s="31"/>
    </row>
    <row r="1195" ht="12.75">
      <c r="A1195" s="31"/>
    </row>
    <row r="1196" ht="12.75">
      <c r="A1196" s="31"/>
    </row>
    <row r="1197" ht="12.75">
      <c r="A1197" s="31"/>
    </row>
    <row r="1198" ht="12.75">
      <c r="A1198" s="31"/>
    </row>
    <row r="1199" ht="12.75">
      <c r="A1199" s="31"/>
    </row>
    <row r="1200" ht="12.75">
      <c r="A1200" s="31"/>
    </row>
    <row r="1201" ht="12.75">
      <c r="A1201" s="31"/>
    </row>
    <row r="1202" ht="12.75">
      <c r="A1202" s="31"/>
    </row>
    <row r="1203" ht="12.75">
      <c r="A1203" s="31"/>
    </row>
    <row r="1204" ht="12.75">
      <c r="A1204" s="31"/>
    </row>
    <row r="1205" ht="12.75">
      <c r="A1205" s="31"/>
    </row>
    <row r="1206" ht="12.75">
      <c r="A1206" s="31"/>
    </row>
    <row r="1207" ht="12.75">
      <c r="A1207" s="31"/>
    </row>
    <row r="1208" ht="12.75">
      <c r="A1208" s="31"/>
    </row>
    <row r="1209" ht="12.75">
      <c r="A1209" s="31"/>
    </row>
    <row r="1210" ht="12.75">
      <c r="A1210" s="31"/>
    </row>
    <row r="1211" ht="12.75">
      <c r="A1211" s="31"/>
    </row>
    <row r="1212" ht="12.75">
      <c r="A1212" s="31"/>
    </row>
    <row r="1213" ht="12.75">
      <c r="A1213" s="31"/>
    </row>
    <row r="1214" ht="12.75">
      <c r="A1214" s="31"/>
    </row>
    <row r="1215" ht="12.75">
      <c r="A1215" s="31"/>
    </row>
    <row r="1216" ht="12.75">
      <c r="A1216" s="31"/>
    </row>
    <row r="1217" ht="12.75">
      <c r="A1217" s="31"/>
    </row>
    <row r="1218" ht="12.75">
      <c r="A1218" s="31"/>
    </row>
    <row r="1219" ht="12.75">
      <c r="A1219" s="31"/>
    </row>
    <row r="1220" ht="12.75">
      <c r="A1220" s="31"/>
    </row>
    <row r="1221" ht="12.75">
      <c r="A1221" s="31"/>
    </row>
    <row r="1222" ht="12.75">
      <c r="A1222" s="31"/>
    </row>
    <row r="1223" ht="12.75">
      <c r="A1223" s="31"/>
    </row>
    <row r="1224" ht="12.75">
      <c r="A1224" s="31"/>
    </row>
    <row r="1225" ht="12.75">
      <c r="A1225" s="31"/>
    </row>
    <row r="1226" ht="12.75">
      <c r="A1226" s="31"/>
    </row>
    <row r="1227" ht="12.75">
      <c r="A1227" s="31"/>
    </row>
    <row r="1228" ht="12.75">
      <c r="A1228" s="31"/>
    </row>
    <row r="1229" ht="12.75">
      <c r="A1229" s="31"/>
    </row>
    <row r="1230" ht="12.75">
      <c r="A1230" s="31"/>
    </row>
    <row r="1231" ht="12.75">
      <c r="A1231" s="31"/>
    </row>
    <row r="1232" ht="12.75">
      <c r="A1232" s="31"/>
    </row>
    <row r="1233" ht="12.75">
      <c r="A1233" s="31"/>
    </row>
    <row r="1234" ht="12.75">
      <c r="A1234" s="31"/>
    </row>
    <row r="1235" ht="12.75">
      <c r="A1235" s="31"/>
    </row>
    <row r="1236" ht="12.75">
      <c r="A1236" s="31"/>
    </row>
    <row r="1237" ht="12.75">
      <c r="A1237" s="31"/>
    </row>
    <row r="1238" ht="12.75">
      <c r="A1238" s="31"/>
    </row>
    <row r="1239" ht="12.75">
      <c r="A1239" s="31"/>
    </row>
    <row r="1240" ht="12.75">
      <c r="A1240" s="31"/>
    </row>
    <row r="1241" ht="12.75">
      <c r="A1241" s="31"/>
    </row>
    <row r="1242" ht="12.75">
      <c r="A1242" s="31"/>
    </row>
    <row r="1243" ht="12.75">
      <c r="A1243" s="31"/>
    </row>
    <row r="1244" ht="12.75">
      <c r="A1244" s="31"/>
    </row>
    <row r="1245" ht="12.75">
      <c r="A1245" s="31"/>
    </row>
    <row r="1246" ht="12.75">
      <c r="A1246" s="31"/>
    </row>
    <row r="1247" ht="12.75">
      <c r="A1247" s="31"/>
    </row>
    <row r="1248" ht="12.75">
      <c r="A1248" s="31"/>
    </row>
    <row r="1249" ht="12.75">
      <c r="A1249" s="31"/>
    </row>
    <row r="1250" ht="12.75">
      <c r="A1250" s="31"/>
    </row>
    <row r="1251" ht="12.75">
      <c r="A1251" s="31"/>
    </row>
    <row r="1252" ht="12.75">
      <c r="A1252" s="31"/>
    </row>
    <row r="1253" ht="12.75">
      <c r="A1253" s="31"/>
    </row>
    <row r="1254" ht="12.75">
      <c r="A1254" s="31"/>
    </row>
    <row r="1255" ht="12.75">
      <c r="A1255" s="31"/>
    </row>
    <row r="1256" ht="12.75">
      <c r="A1256" s="31"/>
    </row>
    <row r="1257" ht="12.75">
      <c r="A1257" s="31"/>
    </row>
    <row r="1258" ht="12.75">
      <c r="A1258" s="31"/>
    </row>
    <row r="1259" ht="12.75">
      <c r="A1259" s="31"/>
    </row>
    <row r="1260" ht="12.75">
      <c r="A1260" s="31"/>
    </row>
    <row r="1261" ht="12.75">
      <c r="A1261" s="31"/>
    </row>
    <row r="1262" ht="12.75">
      <c r="A1262" s="31"/>
    </row>
    <row r="1263" ht="12.75">
      <c r="A1263" s="31"/>
    </row>
    <row r="1264" ht="12.75">
      <c r="A1264" s="31"/>
    </row>
    <row r="1265" ht="12.75">
      <c r="A1265" s="31"/>
    </row>
    <row r="1266" ht="12.75">
      <c r="A1266" s="31"/>
    </row>
    <row r="1267" ht="12.75">
      <c r="A1267" s="31"/>
    </row>
    <row r="1268" ht="12.75">
      <c r="A1268" s="31"/>
    </row>
    <row r="1269" ht="12.75">
      <c r="A1269" s="31"/>
    </row>
    <row r="1270" ht="12.75">
      <c r="A1270" s="31"/>
    </row>
    <row r="1271" ht="12.75">
      <c r="A1271" s="31"/>
    </row>
    <row r="1272" ht="12.75">
      <c r="A1272" s="31"/>
    </row>
    <row r="1273" ht="12.75">
      <c r="A1273" s="31"/>
    </row>
    <row r="1274" ht="12.75">
      <c r="A1274" s="31"/>
    </row>
    <row r="1275" ht="12.75">
      <c r="A1275" s="31"/>
    </row>
    <row r="1276" ht="12.75">
      <c r="A1276" s="31"/>
    </row>
    <row r="1277" ht="12.75">
      <c r="A1277" s="31"/>
    </row>
    <row r="1278" ht="12.75">
      <c r="A1278" s="31"/>
    </row>
    <row r="1279" ht="12.75">
      <c r="A1279" s="31"/>
    </row>
    <row r="1280" ht="12.75">
      <c r="A1280" s="31"/>
    </row>
    <row r="1281" ht="12.75">
      <c r="A1281" s="31"/>
    </row>
    <row r="1282" ht="12.75">
      <c r="A1282" s="31"/>
    </row>
    <row r="1283" ht="12.75">
      <c r="A1283" s="31"/>
    </row>
    <row r="1284" ht="12.75">
      <c r="A1284" s="31"/>
    </row>
    <row r="1285" ht="12.75">
      <c r="A1285" s="31"/>
    </row>
    <row r="1286" ht="12.75">
      <c r="A1286" s="31"/>
    </row>
    <row r="1287" ht="12.75">
      <c r="A1287" s="31"/>
    </row>
    <row r="1288" ht="12.75">
      <c r="A1288" s="31"/>
    </row>
    <row r="1289" ht="12.75">
      <c r="A1289" s="31"/>
    </row>
    <row r="1290" ht="12.75">
      <c r="A1290" s="31"/>
    </row>
    <row r="1291" ht="12.75">
      <c r="A1291" s="31"/>
    </row>
    <row r="1292" ht="12.75">
      <c r="A1292" s="31"/>
    </row>
    <row r="1293" ht="12.75">
      <c r="A1293" s="31"/>
    </row>
    <row r="1294" ht="12.75">
      <c r="A1294" s="31"/>
    </row>
    <row r="1295" ht="12.75">
      <c r="A1295" s="31"/>
    </row>
    <row r="1296" ht="12.75">
      <c r="A1296" s="31"/>
    </row>
    <row r="1297" ht="12.75">
      <c r="A1297" s="31"/>
    </row>
    <row r="1298" ht="12.75">
      <c r="A1298" s="31"/>
    </row>
    <row r="1299" ht="12.75">
      <c r="A1299" s="31"/>
    </row>
    <row r="1300" ht="12.75">
      <c r="A1300" s="31"/>
    </row>
    <row r="1301" ht="12.75">
      <c r="A1301" s="31"/>
    </row>
    <row r="1302" ht="12.75">
      <c r="A1302" s="31"/>
    </row>
    <row r="1303" ht="12.75">
      <c r="A1303" s="31"/>
    </row>
    <row r="1304" ht="12.75">
      <c r="A1304" s="31"/>
    </row>
    <row r="1305" ht="12.75">
      <c r="A1305" s="31"/>
    </row>
    <row r="1306" ht="12.75">
      <c r="A1306" s="31"/>
    </row>
    <row r="1307" ht="12.75">
      <c r="A1307" s="31"/>
    </row>
    <row r="1308" ht="12.75">
      <c r="A1308" s="31"/>
    </row>
    <row r="1309" ht="12.75">
      <c r="A1309" s="31"/>
    </row>
    <row r="1310" ht="12.75">
      <c r="A1310" s="31"/>
    </row>
    <row r="1311" ht="12.75">
      <c r="A1311" s="31"/>
    </row>
    <row r="1312" ht="12.75">
      <c r="A1312" s="31"/>
    </row>
    <row r="1313" ht="12.75">
      <c r="A1313" s="31"/>
    </row>
    <row r="1314" ht="12.75">
      <c r="A1314" s="31"/>
    </row>
    <row r="1315" ht="12.75">
      <c r="A1315" s="31"/>
    </row>
    <row r="1316" ht="12.75">
      <c r="A1316" s="31"/>
    </row>
    <row r="1317" ht="12.75">
      <c r="A1317" s="31"/>
    </row>
    <row r="1318" ht="12.75">
      <c r="A1318" s="31"/>
    </row>
    <row r="1319" ht="12.75">
      <c r="A1319" s="31"/>
    </row>
    <row r="1320" ht="12.75">
      <c r="A1320" s="31"/>
    </row>
    <row r="1321" ht="12.75">
      <c r="A1321" s="31"/>
    </row>
    <row r="1322" ht="12.75">
      <c r="A1322" s="31"/>
    </row>
    <row r="1323" ht="12.75">
      <c r="A1323" s="31"/>
    </row>
    <row r="1324" ht="12.75">
      <c r="A1324" s="31"/>
    </row>
    <row r="1325" ht="12.75">
      <c r="A1325" s="31"/>
    </row>
    <row r="1326" ht="12.75">
      <c r="A1326" s="31"/>
    </row>
    <row r="1327" ht="12.75">
      <c r="A1327" s="31"/>
    </row>
    <row r="1328" ht="12.75">
      <c r="A1328" s="31"/>
    </row>
    <row r="1329" ht="12.75">
      <c r="A1329" s="31"/>
    </row>
    <row r="1330" ht="12.75">
      <c r="A1330" s="31"/>
    </row>
    <row r="1331" ht="12.75">
      <c r="A1331" s="31"/>
    </row>
    <row r="1332" ht="12.75">
      <c r="A1332" s="31"/>
    </row>
    <row r="1333" ht="12.75">
      <c r="A1333" s="31"/>
    </row>
    <row r="1334" ht="12.75">
      <c r="A1334" s="31"/>
    </row>
    <row r="1335" ht="12.75">
      <c r="A1335" s="31"/>
    </row>
    <row r="1336" ht="12.75">
      <c r="A1336" s="31"/>
    </row>
    <row r="1337" ht="12.75">
      <c r="A1337" s="31"/>
    </row>
    <row r="1338" ht="12.75">
      <c r="A1338" s="31"/>
    </row>
    <row r="1339" ht="12.75">
      <c r="A1339" s="31"/>
    </row>
    <row r="1340" ht="12.75">
      <c r="A1340" s="31"/>
    </row>
    <row r="1341" ht="12.75">
      <c r="A1341" s="31"/>
    </row>
    <row r="1342" ht="12.75">
      <c r="A1342" s="31"/>
    </row>
    <row r="1343" ht="12.75">
      <c r="A1343" s="31"/>
    </row>
    <row r="1344" ht="12.75">
      <c r="A1344" s="31"/>
    </row>
    <row r="1345" ht="12.75">
      <c r="A1345" s="31"/>
    </row>
    <row r="1346" ht="12.75">
      <c r="A1346" s="31"/>
    </row>
    <row r="1347" ht="12.75">
      <c r="A1347" s="31"/>
    </row>
    <row r="1348" ht="12.75">
      <c r="A1348" s="31"/>
    </row>
    <row r="1349" ht="12.75">
      <c r="A1349" s="31"/>
    </row>
    <row r="1350" ht="12.75">
      <c r="A1350" s="31"/>
    </row>
    <row r="1351" ht="12.75">
      <c r="A1351" s="31"/>
    </row>
    <row r="1352" ht="12.75">
      <c r="A1352" s="31"/>
    </row>
    <row r="1353" ht="12.75">
      <c r="A1353" s="31"/>
    </row>
    <row r="1354" ht="12.75">
      <c r="A1354" s="31"/>
    </row>
    <row r="1355" ht="12.75">
      <c r="A1355" s="31"/>
    </row>
    <row r="1356" ht="12.75">
      <c r="A1356" s="31"/>
    </row>
    <row r="1357" ht="12.75">
      <c r="A1357" s="31"/>
    </row>
    <row r="1358" ht="12.75">
      <c r="A1358" s="31"/>
    </row>
    <row r="1359" ht="12.75">
      <c r="A1359" s="31"/>
    </row>
    <row r="1360" ht="12.75">
      <c r="A1360" s="31"/>
    </row>
    <row r="1361" ht="12.75">
      <c r="A1361" s="31"/>
    </row>
    <row r="1362" ht="12.75">
      <c r="A1362" s="31"/>
    </row>
    <row r="1363" ht="12.75">
      <c r="A1363" s="31"/>
    </row>
    <row r="1364" ht="12.75">
      <c r="A1364" s="31"/>
    </row>
    <row r="1365" ht="12.75">
      <c r="A1365" s="31"/>
    </row>
    <row r="1366" ht="12.75">
      <c r="A1366" s="31"/>
    </row>
    <row r="1367" ht="12.75">
      <c r="A1367" s="31"/>
    </row>
    <row r="1368" ht="12.75">
      <c r="A1368" s="31"/>
    </row>
    <row r="1369" ht="12.75">
      <c r="A1369" s="31"/>
    </row>
    <row r="1370" ht="12.75">
      <c r="A1370" s="31"/>
    </row>
    <row r="1371" ht="12.75">
      <c r="A1371" s="31"/>
    </row>
    <row r="1372" ht="12.75">
      <c r="A1372" s="31"/>
    </row>
    <row r="1373" ht="12.75">
      <c r="A1373" s="31"/>
    </row>
    <row r="1374" ht="12.75">
      <c r="A1374" s="31"/>
    </row>
    <row r="1375" ht="12.75">
      <c r="A1375" s="31"/>
    </row>
    <row r="1376" ht="12.75">
      <c r="A1376" s="31"/>
    </row>
    <row r="1377" ht="12.75">
      <c r="A1377" s="31"/>
    </row>
    <row r="1378" ht="12.75">
      <c r="A1378" s="31"/>
    </row>
    <row r="1379" ht="12.75">
      <c r="A1379" s="31"/>
    </row>
    <row r="1380" ht="12.75">
      <c r="A1380" s="31"/>
    </row>
    <row r="1381" ht="12.75">
      <c r="A1381" s="31"/>
    </row>
    <row r="1382" ht="12.75">
      <c r="A1382" s="31"/>
    </row>
    <row r="1383" ht="12.75">
      <c r="A1383" s="31"/>
    </row>
    <row r="1384" ht="12.75">
      <c r="A1384" s="31"/>
    </row>
    <row r="1385" ht="12.75">
      <c r="A1385" s="31"/>
    </row>
    <row r="1386" ht="12.75">
      <c r="A1386" s="31"/>
    </row>
    <row r="1387" ht="12.75">
      <c r="A1387" s="31"/>
    </row>
    <row r="1388" ht="12.75">
      <c r="A1388" s="31"/>
    </row>
    <row r="1389" ht="12.75">
      <c r="A1389" s="31"/>
    </row>
    <row r="1390" ht="12.75">
      <c r="A1390" s="31"/>
    </row>
    <row r="1391" ht="12.75">
      <c r="A1391" s="31"/>
    </row>
    <row r="1392" ht="12.75">
      <c r="A1392" s="31"/>
    </row>
    <row r="1393" ht="12.75">
      <c r="A1393" s="31"/>
    </row>
    <row r="1394" ht="12.75">
      <c r="A1394" s="31"/>
    </row>
    <row r="1395" ht="12.75">
      <c r="A1395" s="31"/>
    </row>
    <row r="1396" ht="12.75">
      <c r="A1396" s="31"/>
    </row>
    <row r="1397" ht="12.75">
      <c r="A1397" s="31"/>
    </row>
    <row r="1398" ht="12.75">
      <c r="A1398" s="31"/>
    </row>
    <row r="1399" ht="12.75">
      <c r="A1399" s="31"/>
    </row>
    <row r="1400" ht="12.75">
      <c r="A1400" s="31"/>
    </row>
    <row r="1401" ht="12.75">
      <c r="A1401" s="31"/>
    </row>
    <row r="1402" ht="12.75">
      <c r="A1402" s="31"/>
    </row>
    <row r="1403" ht="12.75">
      <c r="A1403" s="31"/>
    </row>
    <row r="1404" ht="12.75">
      <c r="A1404" s="31"/>
    </row>
    <row r="1405" ht="12.75">
      <c r="A1405" s="31"/>
    </row>
    <row r="1406" ht="12.75">
      <c r="A1406" s="31"/>
    </row>
    <row r="1407" ht="12.75">
      <c r="A1407" s="31"/>
    </row>
    <row r="1408" ht="12.75">
      <c r="A1408" s="31"/>
    </row>
    <row r="1409" ht="12.75">
      <c r="A1409" s="31"/>
    </row>
    <row r="1410" ht="12.75">
      <c r="A1410" s="31"/>
    </row>
    <row r="1411" ht="12.75">
      <c r="A1411" s="31"/>
    </row>
    <row r="1412" ht="12.75">
      <c r="A1412" s="31"/>
    </row>
    <row r="1413" ht="12.75">
      <c r="A1413" s="31"/>
    </row>
    <row r="1414" ht="12.75">
      <c r="A1414" s="31"/>
    </row>
    <row r="1415" ht="12.75">
      <c r="A1415" s="31"/>
    </row>
    <row r="1416" ht="12.75">
      <c r="A1416" s="31"/>
    </row>
    <row r="1417" ht="12.75">
      <c r="A1417" s="31"/>
    </row>
    <row r="1418" ht="12.75">
      <c r="A1418" s="31"/>
    </row>
    <row r="1419" ht="12.75">
      <c r="A1419" s="31"/>
    </row>
    <row r="1420" ht="12.75">
      <c r="A1420" s="31"/>
    </row>
    <row r="1421" ht="12.75">
      <c r="A1421" s="31"/>
    </row>
    <row r="1422" ht="12.75">
      <c r="A1422" s="31"/>
    </row>
    <row r="1423" ht="12.75">
      <c r="A1423" s="31"/>
    </row>
    <row r="1424" ht="12.75">
      <c r="A1424" s="31"/>
    </row>
    <row r="1425" ht="12.75">
      <c r="A1425" s="31"/>
    </row>
    <row r="1426" ht="12.75">
      <c r="A1426" s="31"/>
    </row>
    <row r="1427" ht="12.75">
      <c r="A1427" s="31"/>
    </row>
    <row r="1428" ht="12.75">
      <c r="A1428" s="31"/>
    </row>
    <row r="1429" ht="12.75">
      <c r="A1429" s="31"/>
    </row>
    <row r="1430" ht="12.75">
      <c r="A1430" s="31"/>
    </row>
    <row r="1431" ht="12.75">
      <c r="A1431" s="31"/>
    </row>
    <row r="1432" ht="12.75">
      <c r="A1432" s="31"/>
    </row>
    <row r="1433" ht="12.75">
      <c r="A1433" s="31"/>
    </row>
    <row r="1434" ht="12.75">
      <c r="A1434" s="31"/>
    </row>
    <row r="1435" ht="12.75">
      <c r="A1435" s="31"/>
    </row>
    <row r="1436" ht="12.75">
      <c r="A1436" s="31"/>
    </row>
    <row r="1437" ht="12.75">
      <c r="A1437" s="31"/>
    </row>
    <row r="1438" ht="12.75">
      <c r="A1438" s="31"/>
    </row>
    <row r="1439" ht="12.75">
      <c r="A1439" s="31"/>
    </row>
    <row r="1440" ht="12.75">
      <c r="A1440" s="31"/>
    </row>
    <row r="1441" ht="12.75">
      <c r="A1441" s="31"/>
    </row>
    <row r="1442" ht="12.75">
      <c r="A1442" s="31"/>
    </row>
    <row r="1443" ht="12.75">
      <c r="A1443" s="31"/>
    </row>
    <row r="1444" ht="12.75">
      <c r="A1444" s="31"/>
    </row>
    <row r="1445" ht="12.75">
      <c r="A1445" s="31"/>
    </row>
    <row r="1446" ht="12.75">
      <c r="A1446" s="31"/>
    </row>
    <row r="1447" ht="12.75">
      <c r="A1447" s="31"/>
    </row>
    <row r="1448" ht="12.75">
      <c r="A1448" s="31"/>
    </row>
    <row r="1449" ht="12.75">
      <c r="A1449" s="31"/>
    </row>
    <row r="1450" ht="12.75">
      <c r="A1450" s="31"/>
    </row>
    <row r="1451" ht="12.75">
      <c r="A1451" s="31"/>
    </row>
    <row r="1452" ht="12.75">
      <c r="A1452" s="31"/>
    </row>
    <row r="1453" ht="12.75">
      <c r="A1453" s="31"/>
    </row>
    <row r="1454" ht="12.75">
      <c r="A1454" s="31"/>
    </row>
    <row r="1455" ht="12.75">
      <c r="A1455" s="31"/>
    </row>
    <row r="1456" ht="12.75">
      <c r="A1456" s="31"/>
    </row>
    <row r="1457" ht="12.75">
      <c r="A1457" s="31"/>
    </row>
    <row r="1458" ht="12.75">
      <c r="A1458" s="31"/>
    </row>
    <row r="1459" ht="12.75">
      <c r="A1459" s="31"/>
    </row>
    <row r="1460" ht="12.75">
      <c r="A1460" s="31"/>
    </row>
    <row r="1461" ht="12.75">
      <c r="A1461" s="31"/>
    </row>
    <row r="1462" ht="12.75">
      <c r="A1462" s="31"/>
    </row>
    <row r="1463" ht="12.75">
      <c r="A1463" s="31"/>
    </row>
    <row r="1464" ht="12.75">
      <c r="A1464" s="31"/>
    </row>
    <row r="1465" ht="12.75">
      <c r="A1465" s="31"/>
    </row>
    <row r="1466" ht="12.75">
      <c r="A1466" s="31"/>
    </row>
    <row r="1467" ht="12.75">
      <c r="A1467" s="31"/>
    </row>
    <row r="1468" ht="12.75">
      <c r="A1468" s="31"/>
    </row>
    <row r="1469" ht="12.75">
      <c r="A1469" s="31"/>
    </row>
    <row r="1470" ht="12.75">
      <c r="A1470" s="31"/>
    </row>
    <row r="1471" ht="12.75">
      <c r="A1471" s="31"/>
    </row>
    <row r="1472" ht="12.75">
      <c r="A1472" s="31"/>
    </row>
    <row r="1473" ht="12.75">
      <c r="A1473" s="31"/>
    </row>
    <row r="1474" ht="12.75">
      <c r="A1474" s="31"/>
    </row>
    <row r="1475" ht="12.75">
      <c r="A1475" s="31"/>
    </row>
    <row r="1476" ht="12.75">
      <c r="A1476" s="31"/>
    </row>
    <row r="1477" ht="12.75">
      <c r="A1477" s="31"/>
    </row>
    <row r="1478" ht="12.75">
      <c r="A1478" s="31"/>
    </row>
    <row r="1479" ht="12.75">
      <c r="A1479" s="31"/>
    </row>
    <row r="1480" ht="12.75">
      <c r="A1480" s="31"/>
    </row>
    <row r="1481" ht="12.75">
      <c r="A1481" s="31"/>
    </row>
    <row r="1482" ht="12.75">
      <c r="A1482" s="31"/>
    </row>
    <row r="1483" ht="12.75">
      <c r="A1483" s="31"/>
    </row>
    <row r="1484" ht="12.75">
      <c r="A1484" s="31"/>
    </row>
    <row r="1485" ht="12.75">
      <c r="A1485" s="31"/>
    </row>
    <row r="1486" ht="12.75">
      <c r="A1486" s="31"/>
    </row>
    <row r="1487" ht="12.75">
      <c r="A1487" s="31"/>
    </row>
    <row r="1488" ht="12.75">
      <c r="A1488" s="31"/>
    </row>
    <row r="1489" ht="12.75">
      <c r="A1489" s="31"/>
    </row>
    <row r="1490" ht="12.75">
      <c r="A1490" s="31"/>
    </row>
    <row r="1491" ht="12.75">
      <c r="A1491" s="31"/>
    </row>
    <row r="1492" ht="12.75">
      <c r="A1492" s="31"/>
    </row>
    <row r="1493" ht="12.75">
      <c r="A1493" s="31"/>
    </row>
    <row r="1494" ht="12.75">
      <c r="A1494" s="31"/>
    </row>
    <row r="1495" ht="12.75">
      <c r="A1495" s="31"/>
    </row>
    <row r="1496" ht="12.75">
      <c r="A1496" s="31"/>
    </row>
    <row r="1497" ht="12.75">
      <c r="A1497" s="31"/>
    </row>
    <row r="1498" ht="12.75">
      <c r="A1498" s="31"/>
    </row>
    <row r="1499" ht="12.75">
      <c r="A1499" s="31"/>
    </row>
    <row r="1500" ht="12.75">
      <c r="A1500" s="31"/>
    </row>
    <row r="1501" ht="12.75">
      <c r="A1501" s="31"/>
    </row>
    <row r="1502" ht="12.75">
      <c r="A1502" s="31"/>
    </row>
    <row r="1503" ht="12.75">
      <c r="A1503" s="31"/>
    </row>
    <row r="1504" ht="12.75">
      <c r="A1504" s="31"/>
    </row>
    <row r="1505" ht="12.75">
      <c r="A1505" s="31"/>
    </row>
    <row r="1506" ht="12.75">
      <c r="A1506" s="31"/>
    </row>
    <row r="1507" ht="12.75">
      <c r="A1507" s="31"/>
    </row>
    <row r="1508" ht="12.75">
      <c r="A1508" s="31"/>
    </row>
    <row r="1509" ht="12.75">
      <c r="A1509" s="31"/>
    </row>
    <row r="1510" ht="12.75">
      <c r="A1510" s="31"/>
    </row>
    <row r="1511" ht="12.75">
      <c r="A1511" s="31"/>
    </row>
    <row r="1512" ht="12.75">
      <c r="A1512" s="31"/>
    </row>
    <row r="1513" ht="12.75">
      <c r="A1513" s="31"/>
    </row>
    <row r="1514" ht="12.75">
      <c r="A1514" s="31"/>
    </row>
    <row r="1515" ht="12.75">
      <c r="A1515" s="31"/>
    </row>
    <row r="1516" ht="12.75">
      <c r="A1516" s="31"/>
    </row>
    <row r="1517" ht="12.75">
      <c r="A1517" s="31"/>
    </row>
    <row r="1518" ht="12.75">
      <c r="A1518" s="31"/>
    </row>
    <row r="1519" ht="12.75">
      <c r="A1519" s="31"/>
    </row>
    <row r="1520" ht="12.75">
      <c r="A1520" s="31"/>
    </row>
    <row r="1521" ht="12.75">
      <c r="A1521" s="31"/>
    </row>
    <row r="1522" ht="12.75">
      <c r="A1522" s="31"/>
    </row>
    <row r="1523" ht="12.75">
      <c r="A1523" s="31"/>
    </row>
    <row r="1524" ht="12.75">
      <c r="A1524" s="31"/>
    </row>
    <row r="1525" ht="12.75">
      <c r="A1525" s="31"/>
    </row>
    <row r="1526" ht="12.75">
      <c r="A1526" s="31"/>
    </row>
    <row r="1527" ht="12.75">
      <c r="A1527" s="31"/>
    </row>
    <row r="1528" ht="12.75">
      <c r="A1528" s="31"/>
    </row>
    <row r="1529" ht="12.75">
      <c r="A1529" s="31"/>
    </row>
    <row r="1530" ht="12.75">
      <c r="A1530" s="31"/>
    </row>
    <row r="1531" ht="12.75">
      <c r="A1531" s="31"/>
    </row>
    <row r="1532" ht="12.75">
      <c r="A1532" s="31"/>
    </row>
    <row r="1533" ht="12.75">
      <c r="A1533" s="31"/>
    </row>
    <row r="1534" ht="12.75">
      <c r="A1534" s="31"/>
    </row>
    <row r="1535" ht="12.75">
      <c r="A1535" s="31"/>
    </row>
    <row r="1536" ht="12.75">
      <c r="A1536" s="31"/>
    </row>
    <row r="1537" ht="12.75">
      <c r="A1537" s="31"/>
    </row>
    <row r="1538" ht="12.75">
      <c r="A1538" s="31"/>
    </row>
    <row r="1539" ht="12.75">
      <c r="A1539" s="31"/>
    </row>
    <row r="1540" ht="12.75">
      <c r="A1540" s="31"/>
    </row>
    <row r="1541" ht="12.75">
      <c r="A1541" s="31"/>
    </row>
    <row r="1542" ht="12.75">
      <c r="A1542" s="31"/>
    </row>
    <row r="1543" ht="12.75">
      <c r="A1543" s="31"/>
    </row>
    <row r="1544" ht="12.75">
      <c r="A1544" s="31"/>
    </row>
    <row r="1545" ht="12.75">
      <c r="A1545" s="31"/>
    </row>
    <row r="1546" ht="12.75">
      <c r="A1546" s="31"/>
    </row>
    <row r="1547" ht="12.75">
      <c r="A1547" s="31"/>
    </row>
    <row r="1548" ht="12.75">
      <c r="A1548" s="31"/>
    </row>
    <row r="1549" ht="12.75">
      <c r="A1549" s="31"/>
    </row>
    <row r="1550" ht="12.75">
      <c r="A1550" s="31"/>
    </row>
    <row r="1551" ht="12.75">
      <c r="A1551" s="31"/>
    </row>
    <row r="1552" ht="12.75">
      <c r="A1552" s="31"/>
    </row>
    <row r="1553" ht="12.75">
      <c r="A1553" s="31"/>
    </row>
    <row r="1554" ht="12.75">
      <c r="A1554" s="31"/>
    </row>
    <row r="1555" ht="12.75">
      <c r="A1555" s="31"/>
    </row>
    <row r="1556" ht="12.75">
      <c r="A1556" s="31"/>
    </row>
    <row r="1557" ht="12.75">
      <c r="A1557" s="31"/>
    </row>
    <row r="1558" ht="12.75">
      <c r="A1558" s="31"/>
    </row>
    <row r="1559" ht="12.75">
      <c r="A1559" s="31"/>
    </row>
    <row r="1560" ht="12.75">
      <c r="A1560" s="31"/>
    </row>
    <row r="1561" ht="12.75">
      <c r="A1561" s="31"/>
    </row>
    <row r="1562" ht="12.75">
      <c r="A1562" s="31"/>
    </row>
    <row r="1563" ht="12.75">
      <c r="A1563" s="31"/>
    </row>
    <row r="1564" ht="12.75">
      <c r="A1564" s="31"/>
    </row>
    <row r="1565" ht="12.75">
      <c r="A1565" s="31"/>
    </row>
    <row r="1566" ht="12.75">
      <c r="A1566" s="31"/>
    </row>
    <row r="1567" ht="12.75">
      <c r="A1567" s="31"/>
    </row>
    <row r="1568" ht="12.75">
      <c r="A1568" s="31"/>
    </row>
    <row r="1569" ht="12.75">
      <c r="A1569" s="31"/>
    </row>
    <row r="1570" ht="12.75">
      <c r="A1570" s="31"/>
    </row>
    <row r="1571" ht="12.75">
      <c r="A1571" s="31"/>
    </row>
    <row r="1572" ht="12.75">
      <c r="A1572" s="31"/>
    </row>
    <row r="1573" ht="12.75">
      <c r="A1573" s="31"/>
    </row>
    <row r="1574" ht="12.75">
      <c r="A1574" s="31"/>
    </row>
    <row r="1575" ht="12.75">
      <c r="A1575" s="31"/>
    </row>
    <row r="1576" ht="12.75">
      <c r="A1576" s="31"/>
    </row>
    <row r="1577" ht="12.75">
      <c r="A1577" s="31"/>
    </row>
    <row r="1578" ht="12.75">
      <c r="A1578" s="31"/>
    </row>
    <row r="1579" ht="12.75">
      <c r="A1579" s="31"/>
    </row>
    <row r="1580" ht="12.75">
      <c r="A1580" s="31"/>
    </row>
    <row r="1581" ht="12.75">
      <c r="A1581" s="31"/>
    </row>
    <row r="1582" ht="12.75">
      <c r="A1582" s="31"/>
    </row>
    <row r="1583" ht="12.75">
      <c r="A1583" s="31"/>
    </row>
    <row r="1584" ht="12.75">
      <c r="A1584" s="31"/>
    </row>
    <row r="1585" ht="12.75">
      <c r="A1585" s="31"/>
    </row>
    <row r="1586" ht="12.75">
      <c r="A1586" s="31"/>
    </row>
    <row r="1587" ht="12.75">
      <c r="A1587" s="31"/>
    </row>
    <row r="1588" ht="12.75">
      <c r="A1588" s="31"/>
    </row>
    <row r="1589" ht="12.75">
      <c r="A1589" s="31"/>
    </row>
    <row r="1590" ht="12.75">
      <c r="A1590" s="31"/>
    </row>
    <row r="1591" ht="12.75">
      <c r="A1591" s="31"/>
    </row>
    <row r="1592" ht="12.75">
      <c r="A1592" s="31"/>
    </row>
    <row r="1593" ht="12.75">
      <c r="A1593" s="31"/>
    </row>
    <row r="1594" ht="12.75">
      <c r="A1594" s="31"/>
    </row>
    <row r="1595" ht="12.75">
      <c r="A1595" s="31"/>
    </row>
    <row r="1596" ht="12.75">
      <c r="A1596" s="31"/>
    </row>
    <row r="1597" ht="12.75">
      <c r="A1597" s="31"/>
    </row>
    <row r="1598" ht="12.75">
      <c r="A1598" s="31"/>
    </row>
    <row r="1599" ht="12.75">
      <c r="A1599" s="31"/>
    </row>
    <row r="1600" ht="12.75">
      <c r="A1600" s="31"/>
    </row>
    <row r="1601" ht="12.75">
      <c r="A1601" s="31"/>
    </row>
    <row r="1602" ht="12.75">
      <c r="A1602" s="31"/>
    </row>
    <row r="1603" ht="12.75">
      <c r="A1603" s="31"/>
    </row>
    <row r="1604" ht="12.75">
      <c r="A1604" s="31"/>
    </row>
    <row r="1605" ht="12.75">
      <c r="A1605" s="31"/>
    </row>
    <row r="1606" ht="12.75">
      <c r="A1606" s="31"/>
    </row>
    <row r="1607" ht="12.75">
      <c r="A1607" s="31"/>
    </row>
    <row r="1608" ht="12.75">
      <c r="A1608" s="31"/>
    </row>
    <row r="1609" ht="12.75">
      <c r="A1609" s="31"/>
    </row>
    <row r="1610" ht="12.75">
      <c r="A1610" s="31"/>
    </row>
    <row r="1611" ht="12.75">
      <c r="A1611" s="31"/>
    </row>
    <row r="1612" ht="12.75">
      <c r="A1612" s="31"/>
    </row>
    <row r="1613" ht="12.75">
      <c r="A1613" s="31"/>
    </row>
    <row r="1614" ht="12.75">
      <c r="A1614" s="31"/>
    </row>
    <row r="1615" ht="12.75">
      <c r="A1615" s="31"/>
    </row>
    <row r="1616" ht="12.75">
      <c r="A1616" s="31"/>
    </row>
    <row r="1617" ht="12.75">
      <c r="A1617" s="31"/>
    </row>
    <row r="1618" ht="12.75">
      <c r="A1618" s="31"/>
    </row>
    <row r="1619" ht="12.75">
      <c r="A1619" s="31"/>
    </row>
    <row r="1620" ht="12.75">
      <c r="A1620" s="31"/>
    </row>
    <row r="1621" ht="12.75">
      <c r="A1621" s="31"/>
    </row>
    <row r="1622" ht="12.75">
      <c r="A1622" s="31"/>
    </row>
    <row r="1623" ht="12.75">
      <c r="A1623" s="31"/>
    </row>
    <row r="1624" ht="12.75">
      <c r="A1624" s="31"/>
    </row>
    <row r="1625" ht="12.75">
      <c r="A1625" s="31"/>
    </row>
    <row r="1626" ht="12.75">
      <c r="A1626" s="31"/>
    </row>
    <row r="1627" ht="12.75">
      <c r="A1627" s="31"/>
    </row>
    <row r="1628" ht="12.75">
      <c r="A1628" s="31"/>
    </row>
    <row r="1629" ht="12.75">
      <c r="A1629" s="31"/>
    </row>
    <row r="1630" ht="12.75">
      <c r="A1630" s="31"/>
    </row>
    <row r="1631" ht="12.75">
      <c r="A1631" s="31"/>
    </row>
    <row r="1632" ht="12.75">
      <c r="A1632" s="31"/>
    </row>
    <row r="1633" ht="12.75">
      <c r="A1633" s="31"/>
    </row>
    <row r="1634" ht="12.75">
      <c r="A1634" s="31"/>
    </row>
    <row r="1635" ht="12.75">
      <c r="A1635" s="31"/>
    </row>
    <row r="1636" ht="12.75">
      <c r="A1636" s="31"/>
    </row>
    <row r="1637" ht="12.75">
      <c r="A1637" s="31"/>
    </row>
    <row r="1638" ht="12.75">
      <c r="A1638" s="31"/>
    </row>
    <row r="1639" ht="12.75">
      <c r="A1639" s="31"/>
    </row>
    <row r="1640" ht="12.75">
      <c r="A1640" s="31"/>
    </row>
    <row r="1641" ht="12.75">
      <c r="A1641" s="31"/>
    </row>
    <row r="1642" ht="12.75">
      <c r="A1642" s="31"/>
    </row>
    <row r="1643" ht="12.75">
      <c r="A1643" s="31"/>
    </row>
    <row r="1644" ht="12.75">
      <c r="A1644" s="31"/>
    </row>
    <row r="1645" ht="12.75">
      <c r="A1645" s="31"/>
    </row>
    <row r="1646" ht="12.75">
      <c r="A1646" s="31"/>
    </row>
    <row r="1647" ht="12.75">
      <c r="A1647" s="31"/>
    </row>
    <row r="1648" ht="12.75">
      <c r="A1648" s="31"/>
    </row>
    <row r="1649" ht="12.75">
      <c r="A1649" s="31"/>
    </row>
    <row r="1650" ht="12.75">
      <c r="A1650" s="31"/>
    </row>
    <row r="1651" ht="12.75">
      <c r="A1651" s="31"/>
    </row>
    <row r="1652" ht="12.75">
      <c r="A1652" s="31"/>
    </row>
    <row r="1653" ht="12.75">
      <c r="A1653" s="31"/>
    </row>
    <row r="1654" ht="12.75">
      <c r="A1654" s="31"/>
    </row>
    <row r="1655" ht="12.75">
      <c r="A1655" s="31"/>
    </row>
    <row r="1656" ht="12.75">
      <c r="A1656" s="31"/>
    </row>
    <row r="1657" ht="12.75">
      <c r="A1657" s="31"/>
    </row>
    <row r="1658" ht="12.75">
      <c r="A1658" s="31"/>
    </row>
    <row r="1659" ht="12.75">
      <c r="A1659" s="31"/>
    </row>
    <row r="1660" ht="12.75">
      <c r="A1660" s="31"/>
    </row>
    <row r="1661" ht="12.75">
      <c r="A1661" s="31"/>
    </row>
    <row r="1662" ht="12.75">
      <c r="A1662" s="31"/>
    </row>
    <row r="1663" ht="12.75">
      <c r="A1663" s="31"/>
    </row>
    <row r="1664" ht="12.75">
      <c r="A1664" s="31"/>
    </row>
    <row r="1665" ht="12.75">
      <c r="A1665" s="31"/>
    </row>
    <row r="1666" ht="12.75">
      <c r="A1666" s="31"/>
    </row>
    <row r="1667" ht="12.75">
      <c r="A1667" s="31"/>
    </row>
    <row r="1668" ht="12.75">
      <c r="A1668" s="31"/>
    </row>
    <row r="1669" ht="12.75">
      <c r="A1669" s="31"/>
    </row>
    <row r="1670" ht="12.75">
      <c r="A1670" s="31"/>
    </row>
    <row r="1671" ht="12.75">
      <c r="A1671" s="31"/>
    </row>
    <row r="1672" ht="12.75">
      <c r="A1672" s="31"/>
    </row>
    <row r="1673" ht="12.75">
      <c r="A1673" s="31"/>
    </row>
    <row r="1674" ht="12.75">
      <c r="A1674" s="31"/>
    </row>
    <row r="1675" ht="12.75">
      <c r="A1675" s="31"/>
    </row>
    <row r="1676" ht="12.75">
      <c r="A1676" s="31"/>
    </row>
    <row r="1677" ht="12.75">
      <c r="A1677" s="31"/>
    </row>
    <row r="1678" ht="12.75">
      <c r="A1678" s="31"/>
    </row>
    <row r="1679" ht="12.75">
      <c r="A1679" s="31"/>
    </row>
    <row r="1680" ht="12.75">
      <c r="A1680" s="31"/>
    </row>
    <row r="1681" ht="12.75">
      <c r="A1681" s="31"/>
    </row>
    <row r="1682" ht="12.75">
      <c r="A1682" s="31"/>
    </row>
    <row r="1683" ht="12.75">
      <c r="A1683" s="31"/>
    </row>
    <row r="1684" ht="12.75">
      <c r="A1684" s="31"/>
    </row>
    <row r="1685" ht="12.75">
      <c r="A1685" s="31"/>
    </row>
    <row r="1686" ht="12.75">
      <c r="A1686" s="31"/>
    </row>
    <row r="1687" ht="12.75">
      <c r="A1687" s="31"/>
    </row>
    <row r="1688" ht="12.75">
      <c r="A1688" s="31"/>
    </row>
    <row r="1689" ht="12.75">
      <c r="A1689" s="31"/>
    </row>
    <row r="1690" ht="12.75">
      <c r="A1690" s="31"/>
    </row>
    <row r="1691" ht="12.75">
      <c r="A1691" s="31"/>
    </row>
    <row r="1692" ht="12.75">
      <c r="A1692" s="31"/>
    </row>
    <row r="1693" ht="12.75">
      <c r="A1693" s="31"/>
    </row>
    <row r="1694" ht="12.75">
      <c r="A1694" s="31"/>
    </row>
    <row r="1695" ht="12.75">
      <c r="A1695" s="31"/>
    </row>
    <row r="1696" ht="12.75">
      <c r="A1696" s="31"/>
    </row>
    <row r="1697" ht="12.75">
      <c r="A1697" s="31"/>
    </row>
    <row r="1698" ht="12.75">
      <c r="A1698" s="31"/>
    </row>
    <row r="1699" ht="12.75">
      <c r="A1699" s="31"/>
    </row>
    <row r="1700" ht="12.75">
      <c r="A1700" s="31"/>
    </row>
    <row r="1701" ht="12.75">
      <c r="A1701" s="31"/>
    </row>
    <row r="1702" ht="12.75">
      <c r="A1702" s="31"/>
    </row>
    <row r="1703" ht="12.75">
      <c r="A1703" s="31"/>
    </row>
    <row r="1704" ht="12.75">
      <c r="A1704" s="31"/>
    </row>
    <row r="1705" ht="12.75">
      <c r="A1705" s="31"/>
    </row>
    <row r="1706" ht="12.75">
      <c r="A1706" s="31"/>
    </row>
    <row r="1707" ht="12.75">
      <c r="A1707" s="31"/>
    </row>
    <row r="1708" ht="12.75">
      <c r="A1708" s="31"/>
    </row>
    <row r="1709" ht="12.75">
      <c r="A1709" s="31"/>
    </row>
    <row r="1710" ht="12.75">
      <c r="A1710" s="31"/>
    </row>
    <row r="1711" ht="12.75">
      <c r="A1711" s="31"/>
    </row>
    <row r="1712" ht="12.75">
      <c r="A1712" s="31"/>
    </row>
    <row r="1713" ht="12.75">
      <c r="A1713" s="31"/>
    </row>
    <row r="1714" ht="12.75">
      <c r="A1714" s="31"/>
    </row>
    <row r="1715" ht="12.75">
      <c r="A1715" s="31"/>
    </row>
    <row r="1716" ht="12.75">
      <c r="A1716" s="31"/>
    </row>
    <row r="1717" ht="12.75">
      <c r="A1717" s="31"/>
    </row>
    <row r="1718" ht="12.75">
      <c r="A1718" s="31"/>
    </row>
    <row r="1719" ht="12.75">
      <c r="A1719" s="31"/>
    </row>
    <row r="1720" ht="12.75">
      <c r="A1720" s="31"/>
    </row>
    <row r="1721" ht="12.75">
      <c r="A1721" s="31"/>
    </row>
    <row r="1722" ht="12.75">
      <c r="A1722" s="31"/>
    </row>
    <row r="1723" ht="12.75">
      <c r="A1723" s="31"/>
    </row>
    <row r="1724" ht="12.75">
      <c r="A1724" s="31"/>
    </row>
    <row r="1725" ht="12.75">
      <c r="A1725" s="31"/>
    </row>
    <row r="1726" ht="12.75">
      <c r="A1726" s="31"/>
    </row>
    <row r="1727" ht="12.75">
      <c r="A1727" s="31"/>
    </row>
    <row r="1728" ht="12.75">
      <c r="A1728" s="31"/>
    </row>
    <row r="1729" ht="12.75">
      <c r="A1729" s="31"/>
    </row>
    <row r="1730" ht="12.75">
      <c r="A1730" s="31"/>
    </row>
    <row r="1731" ht="12.75">
      <c r="A1731" s="31"/>
    </row>
    <row r="1732" ht="12.75">
      <c r="A1732" s="31"/>
    </row>
    <row r="1733" ht="12.75">
      <c r="A1733" s="31"/>
    </row>
    <row r="1734" ht="12.75">
      <c r="A1734" s="31"/>
    </row>
    <row r="1735" ht="12.75">
      <c r="A1735" s="31"/>
    </row>
    <row r="1736" ht="12.75">
      <c r="A1736" s="31"/>
    </row>
    <row r="1737" ht="12.75">
      <c r="A1737" s="31"/>
    </row>
    <row r="1738" ht="12.75">
      <c r="A1738" s="31"/>
    </row>
    <row r="1739" ht="12.75">
      <c r="A1739" s="31"/>
    </row>
    <row r="1740" ht="12.75">
      <c r="A1740" s="31"/>
    </row>
    <row r="1741" ht="12.75">
      <c r="A1741" s="31"/>
    </row>
    <row r="1742" ht="12.75">
      <c r="A1742" s="31"/>
    </row>
    <row r="1743" ht="12.75">
      <c r="A1743" s="31"/>
    </row>
    <row r="1744" ht="12.75">
      <c r="A1744" s="31"/>
    </row>
    <row r="1745" ht="12.75">
      <c r="A1745" s="31"/>
    </row>
    <row r="1746" ht="12.75">
      <c r="A1746" s="31"/>
    </row>
    <row r="1747" ht="12.75">
      <c r="A1747" s="31"/>
    </row>
    <row r="1748" ht="12.75">
      <c r="A1748" s="31"/>
    </row>
    <row r="1749" ht="12.75">
      <c r="A1749" s="31"/>
    </row>
    <row r="1750" ht="12.75">
      <c r="A1750" s="31"/>
    </row>
    <row r="1751" ht="12.75">
      <c r="A1751" s="31"/>
    </row>
    <row r="1752" ht="12.75">
      <c r="A1752" s="31"/>
    </row>
    <row r="1753" ht="12.75">
      <c r="A1753" s="31"/>
    </row>
    <row r="1754" ht="12.75">
      <c r="A1754" s="31"/>
    </row>
    <row r="1755" ht="12.75">
      <c r="A1755" s="31"/>
    </row>
    <row r="1756" ht="12.75">
      <c r="A1756" s="31"/>
    </row>
    <row r="1757" ht="12.75">
      <c r="A1757" s="31"/>
    </row>
    <row r="1758" ht="12.75">
      <c r="A1758" s="31"/>
    </row>
    <row r="1759" ht="12.75">
      <c r="A1759" s="31"/>
    </row>
    <row r="1760" ht="12.75">
      <c r="A1760" s="31"/>
    </row>
    <row r="1761" ht="12.75">
      <c r="A1761" s="31"/>
    </row>
    <row r="1762" ht="12.75">
      <c r="A1762" s="31"/>
    </row>
    <row r="1763" ht="12.75">
      <c r="A1763" s="31"/>
    </row>
    <row r="1764" ht="12.75">
      <c r="A1764" s="31"/>
    </row>
    <row r="1765" ht="12.75">
      <c r="A1765" s="31"/>
    </row>
    <row r="1766" ht="12.75">
      <c r="A1766" s="31"/>
    </row>
    <row r="1767" ht="12.75">
      <c r="A1767" s="31"/>
    </row>
    <row r="1768" ht="12.75">
      <c r="A1768" s="31"/>
    </row>
    <row r="1769" ht="12.75">
      <c r="A1769" s="31"/>
    </row>
    <row r="1770" ht="12.75">
      <c r="A1770" s="31"/>
    </row>
    <row r="1771" ht="12.75">
      <c r="A1771" s="31"/>
    </row>
    <row r="1772" ht="12.75">
      <c r="A1772" s="31"/>
    </row>
    <row r="1773" ht="12.75">
      <c r="A1773" s="31"/>
    </row>
    <row r="1774" ht="12.75">
      <c r="A1774" s="31"/>
    </row>
    <row r="1775" ht="12.75">
      <c r="A1775" s="31"/>
    </row>
    <row r="1776" ht="12.75">
      <c r="A1776" s="31"/>
    </row>
    <row r="1777" ht="12.75">
      <c r="A1777" s="31"/>
    </row>
    <row r="1778" ht="12.75">
      <c r="A1778" s="31"/>
    </row>
    <row r="1779" ht="12.75">
      <c r="A1779" s="31"/>
    </row>
    <row r="1780" ht="12.75">
      <c r="A1780" s="31"/>
    </row>
    <row r="1781" ht="12.75">
      <c r="A1781" s="31"/>
    </row>
    <row r="1782" ht="12.75">
      <c r="A1782" s="31"/>
    </row>
    <row r="1783" ht="12.75">
      <c r="A1783" s="31"/>
    </row>
    <row r="1784" ht="12.75">
      <c r="A1784" s="31"/>
    </row>
    <row r="1785" ht="12.75">
      <c r="A1785" s="31"/>
    </row>
    <row r="1786" ht="12.75">
      <c r="A1786" s="31"/>
    </row>
    <row r="1787" ht="12.75">
      <c r="A1787" s="31"/>
    </row>
    <row r="1788" ht="12.75">
      <c r="A1788" s="31"/>
    </row>
    <row r="1789" ht="12.75">
      <c r="A1789" s="31"/>
    </row>
    <row r="1790" ht="12.75">
      <c r="A1790" s="31"/>
    </row>
    <row r="1791" ht="12.75">
      <c r="A1791" s="31"/>
    </row>
    <row r="1792" ht="12.75">
      <c r="A1792" s="31"/>
    </row>
    <row r="1793" ht="12.75">
      <c r="A1793" s="31"/>
    </row>
    <row r="1794" ht="12.75">
      <c r="A1794" s="31"/>
    </row>
    <row r="1795" ht="12.75">
      <c r="A1795" s="31"/>
    </row>
    <row r="1796" ht="12.75">
      <c r="A1796" s="31"/>
    </row>
    <row r="1797" ht="12.75">
      <c r="A1797" s="31"/>
    </row>
    <row r="1798" ht="12.75">
      <c r="A1798" s="31"/>
    </row>
    <row r="1799" ht="12.75">
      <c r="A1799" s="31"/>
    </row>
    <row r="1800" ht="12.75">
      <c r="A1800" s="31"/>
    </row>
    <row r="1801" ht="12.75">
      <c r="A1801" s="31"/>
    </row>
    <row r="1802" ht="12.75">
      <c r="A1802" s="31"/>
    </row>
    <row r="1803" ht="12.75">
      <c r="A1803" s="31"/>
    </row>
    <row r="1804" ht="12.75">
      <c r="A1804" s="31"/>
    </row>
    <row r="1805" ht="12.75">
      <c r="A1805" s="31"/>
    </row>
    <row r="1806" ht="12.75">
      <c r="A1806" s="31"/>
    </row>
    <row r="1807" ht="12.75">
      <c r="A1807" s="31"/>
    </row>
    <row r="1808" ht="12.75">
      <c r="A1808" s="31"/>
    </row>
    <row r="1809" ht="12.75">
      <c r="A1809" s="31"/>
    </row>
    <row r="1810" ht="12.75">
      <c r="A1810" s="31"/>
    </row>
    <row r="1811" ht="12.75">
      <c r="A1811" s="31"/>
    </row>
    <row r="1812" ht="12.75">
      <c r="A1812" s="31"/>
    </row>
    <row r="1813" ht="12.75">
      <c r="A1813" s="31"/>
    </row>
    <row r="1814" ht="12.75">
      <c r="A1814" s="31"/>
    </row>
    <row r="1815" ht="12.75">
      <c r="A1815" s="31"/>
    </row>
    <row r="1816" ht="12.75">
      <c r="A1816" s="31"/>
    </row>
    <row r="1817" ht="12.75">
      <c r="A1817" s="31"/>
    </row>
    <row r="1818" ht="12.75">
      <c r="A1818" s="31"/>
    </row>
    <row r="1819" ht="12.75">
      <c r="A1819" s="31"/>
    </row>
    <row r="1820" ht="12.75">
      <c r="A1820" s="31"/>
    </row>
    <row r="1821" ht="12.75">
      <c r="A1821" s="31"/>
    </row>
    <row r="1822" ht="12.75">
      <c r="A1822" s="31"/>
    </row>
    <row r="1823" ht="12.75">
      <c r="A1823" s="31"/>
    </row>
    <row r="1824" ht="12.75">
      <c r="A1824" s="31"/>
    </row>
    <row r="1825" ht="12.75">
      <c r="A1825" s="31"/>
    </row>
    <row r="1826" ht="12.75">
      <c r="A1826" s="31"/>
    </row>
    <row r="1827" ht="12.75">
      <c r="A1827" s="31"/>
    </row>
    <row r="1828" ht="12.75">
      <c r="A1828" s="31"/>
    </row>
    <row r="1829" ht="12.75">
      <c r="A1829" s="31"/>
    </row>
    <row r="1830" ht="12.75">
      <c r="A1830" s="31"/>
    </row>
    <row r="1831" ht="12.75">
      <c r="A1831" s="31"/>
    </row>
    <row r="1832" ht="12.75">
      <c r="A1832" s="31"/>
    </row>
    <row r="1833" ht="12.75">
      <c r="A1833" s="31"/>
    </row>
    <row r="1834" ht="12.75">
      <c r="A1834" s="31"/>
    </row>
    <row r="1835" ht="12.75">
      <c r="A1835" s="31"/>
    </row>
    <row r="1836" ht="12.75">
      <c r="A1836" s="31"/>
    </row>
    <row r="1837" ht="12.75">
      <c r="A1837" s="31"/>
    </row>
    <row r="1838" ht="12.75">
      <c r="A1838" s="31"/>
    </row>
    <row r="1839" ht="12.75">
      <c r="A1839" s="31"/>
    </row>
    <row r="1840" ht="12.75">
      <c r="A1840" s="31"/>
    </row>
    <row r="1841" ht="12.75">
      <c r="A1841" s="31"/>
    </row>
    <row r="1842" ht="12.75">
      <c r="A1842" s="31"/>
    </row>
    <row r="1843" ht="12.75">
      <c r="A1843" s="31"/>
    </row>
    <row r="1844" ht="12.75">
      <c r="A1844" s="31"/>
    </row>
    <row r="1845" ht="12.75">
      <c r="A1845" s="31"/>
    </row>
    <row r="1846" ht="12.75">
      <c r="A1846" s="31"/>
    </row>
    <row r="1847" ht="12.75">
      <c r="A1847" s="31"/>
    </row>
    <row r="1848" ht="12.75">
      <c r="A1848" s="31"/>
    </row>
    <row r="1849" ht="12.75">
      <c r="A1849" s="31"/>
    </row>
    <row r="1850" ht="12.75">
      <c r="A1850" s="31"/>
    </row>
    <row r="1851" ht="12.75">
      <c r="A1851" s="31"/>
    </row>
    <row r="1852" ht="12.75">
      <c r="A1852" s="31"/>
    </row>
    <row r="1853" ht="12.75">
      <c r="A1853" s="31"/>
    </row>
    <row r="1854" ht="12.75">
      <c r="A1854" s="31"/>
    </row>
    <row r="1855" ht="12.75">
      <c r="A1855" s="31"/>
    </row>
    <row r="1856" ht="12.75">
      <c r="A1856" s="31"/>
    </row>
    <row r="1857" ht="12.75">
      <c r="A1857" s="31"/>
    </row>
    <row r="1858" ht="12.75">
      <c r="A1858" s="31"/>
    </row>
    <row r="1859" ht="12.75">
      <c r="A1859" s="31"/>
    </row>
    <row r="1860" ht="12.75">
      <c r="A1860" s="31"/>
    </row>
    <row r="1861" ht="12.75">
      <c r="A1861" s="31"/>
    </row>
    <row r="1862" ht="12.75">
      <c r="A1862" s="31"/>
    </row>
    <row r="1863" ht="12.75">
      <c r="A1863" s="31"/>
    </row>
    <row r="1864" ht="12.75">
      <c r="A1864" s="31"/>
    </row>
    <row r="1865" ht="12.75">
      <c r="A1865" s="31"/>
    </row>
    <row r="1866" ht="12.75">
      <c r="A1866" s="31"/>
    </row>
    <row r="1867" ht="12.75">
      <c r="A1867" s="31"/>
    </row>
    <row r="1868" ht="12.75">
      <c r="A1868" s="31"/>
    </row>
    <row r="1869" ht="12.75">
      <c r="A1869" s="31"/>
    </row>
    <row r="1870" ht="12.75">
      <c r="A1870" s="31"/>
    </row>
    <row r="1871" ht="12.75">
      <c r="A1871" s="31"/>
    </row>
    <row r="1872" ht="12.75">
      <c r="A1872" s="31"/>
    </row>
    <row r="1873" ht="12.75">
      <c r="A1873" s="31"/>
    </row>
    <row r="1874" ht="12.75">
      <c r="A1874" s="31"/>
    </row>
    <row r="1875" ht="12.75">
      <c r="A1875" s="31"/>
    </row>
    <row r="1876" ht="12.75">
      <c r="A1876" s="31"/>
    </row>
    <row r="1877" ht="12.75">
      <c r="A1877" s="31"/>
    </row>
    <row r="1878" ht="12.75">
      <c r="A1878" s="31"/>
    </row>
    <row r="1879" ht="12.75">
      <c r="A1879" s="31"/>
    </row>
    <row r="1880" ht="12.75">
      <c r="A1880" s="31"/>
    </row>
    <row r="1881" ht="12.75">
      <c r="A1881" s="31"/>
    </row>
    <row r="1882" ht="12.75">
      <c r="A1882" s="31"/>
    </row>
    <row r="1883" ht="12.75">
      <c r="A1883" s="31"/>
    </row>
    <row r="1884" ht="12.75">
      <c r="A1884" s="31"/>
    </row>
    <row r="1885" ht="12.75">
      <c r="A1885" s="31"/>
    </row>
    <row r="1886" ht="12.75">
      <c r="A1886" s="31"/>
    </row>
    <row r="1887" ht="12.75">
      <c r="A1887" s="31"/>
    </row>
    <row r="1888" ht="12.75">
      <c r="A1888" s="31"/>
    </row>
    <row r="1889" ht="12.75">
      <c r="A1889" s="31"/>
    </row>
    <row r="1890" ht="12.75">
      <c r="A1890" s="31"/>
    </row>
    <row r="1891" ht="12.75">
      <c r="A1891" s="31"/>
    </row>
    <row r="1892" ht="12.75">
      <c r="A1892" s="31"/>
    </row>
    <row r="1893" ht="12.75">
      <c r="A1893" s="31"/>
    </row>
    <row r="1894" ht="12.75">
      <c r="A1894" s="31"/>
    </row>
    <row r="1895" ht="12.75">
      <c r="A1895" s="31"/>
    </row>
    <row r="1896" ht="12.75">
      <c r="A1896" s="31"/>
    </row>
    <row r="1897" ht="12.75">
      <c r="A1897" s="31"/>
    </row>
    <row r="1898" ht="12.75">
      <c r="A1898" s="31"/>
    </row>
    <row r="1899" ht="12.75">
      <c r="A1899" s="31"/>
    </row>
    <row r="1900" ht="12.75">
      <c r="A1900" s="31"/>
    </row>
    <row r="1901" ht="12.75">
      <c r="A1901" s="31"/>
    </row>
    <row r="1902" ht="12.75">
      <c r="A1902" s="31"/>
    </row>
    <row r="1903" ht="12.75">
      <c r="A1903" s="31"/>
    </row>
    <row r="1904" ht="12.75">
      <c r="A1904" s="31"/>
    </row>
    <row r="1905" ht="12.75">
      <c r="A1905" s="31"/>
    </row>
    <row r="1906" ht="12.75">
      <c r="A1906" s="31"/>
    </row>
    <row r="1907" ht="12.75">
      <c r="A1907" s="31"/>
    </row>
    <row r="1908" ht="12.75">
      <c r="A1908" s="31"/>
    </row>
    <row r="1909" ht="12.75">
      <c r="A1909" s="31"/>
    </row>
    <row r="1910" ht="12.75">
      <c r="A1910" s="31"/>
    </row>
    <row r="1911" ht="12.75">
      <c r="A1911" s="31"/>
    </row>
    <row r="1912" ht="12.75">
      <c r="A1912" s="31"/>
    </row>
    <row r="1913" ht="12.75">
      <c r="A1913" s="31"/>
    </row>
    <row r="1914" ht="12.75">
      <c r="A1914" s="31"/>
    </row>
    <row r="1915" ht="12.75">
      <c r="A1915" s="31"/>
    </row>
    <row r="1916" ht="12.75">
      <c r="A1916" s="31"/>
    </row>
    <row r="1917" ht="12.75">
      <c r="A1917" s="31"/>
    </row>
    <row r="1918" ht="12.75">
      <c r="A1918" s="31"/>
    </row>
    <row r="1919" ht="12.75">
      <c r="A1919" s="31"/>
    </row>
    <row r="1920" ht="12.75">
      <c r="A1920" s="31"/>
    </row>
    <row r="1921" ht="12.75">
      <c r="A1921" s="31"/>
    </row>
    <row r="1922" ht="12.75">
      <c r="A1922" s="31"/>
    </row>
    <row r="1923" ht="12.75">
      <c r="A1923" s="31"/>
    </row>
    <row r="1924" ht="12.75">
      <c r="A1924" s="31"/>
    </row>
    <row r="1925" ht="12.75">
      <c r="A1925" s="31"/>
    </row>
    <row r="1926" ht="12.75">
      <c r="A1926" s="31"/>
    </row>
    <row r="1927" ht="12.75">
      <c r="A1927" s="31"/>
    </row>
    <row r="1928" ht="12.75">
      <c r="A1928" s="31"/>
    </row>
    <row r="1929" ht="12.75">
      <c r="A1929" s="31"/>
    </row>
    <row r="1930" ht="12.75">
      <c r="A1930" s="31"/>
    </row>
    <row r="1931" ht="12.75">
      <c r="A1931" s="31"/>
    </row>
    <row r="1932" ht="12.75">
      <c r="A1932" s="31"/>
    </row>
    <row r="1933" ht="12.75">
      <c r="A1933" s="31"/>
    </row>
    <row r="1934" ht="12.75">
      <c r="A1934" s="31"/>
    </row>
    <row r="1935" ht="12.75">
      <c r="A1935" s="31"/>
    </row>
    <row r="1936" ht="12.75">
      <c r="A1936" s="31"/>
    </row>
    <row r="1937" ht="12.75">
      <c r="A1937" s="31"/>
    </row>
    <row r="1938" ht="12.75">
      <c r="A1938" s="31"/>
    </row>
    <row r="1939" ht="12.75">
      <c r="A1939" s="31"/>
    </row>
    <row r="1940" ht="12.75">
      <c r="A1940" s="31"/>
    </row>
    <row r="1941" ht="12.75">
      <c r="A1941" s="31"/>
    </row>
    <row r="1942" ht="12.75">
      <c r="A1942" s="31"/>
    </row>
    <row r="1943" ht="12.75">
      <c r="A1943" s="31"/>
    </row>
    <row r="1944" ht="12.75">
      <c r="A1944" s="31"/>
    </row>
    <row r="1945" ht="12.75">
      <c r="A1945" s="31"/>
    </row>
    <row r="1946" ht="12.75">
      <c r="A1946" s="31"/>
    </row>
    <row r="1947" ht="12.75">
      <c r="A1947" s="31"/>
    </row>
    <row r="1948" ht="12.75">
      <c r="A1948" s="31"/>
    </row>
    <row r="1949" ht="12.75">
      <c r="A1949" s="31"/>
    </row>
    <row r="1950" ht="12.75">
      <c r="A1950" s="31"/>
    </row>
    <row r="1951" ht="12.75">
      <c r="A1951" s="31"/>
    </row>
    <row r="1952" ht="12.75">
      <c r="A1952" s="31"/>
    </row>
    <row r="1953" ht="12.75">
      <c r="A1953" s="31"/>
    </row>
    <row r="1954" ht="12.75">
      <c r="A1954" s="31"/>
    </row>
    <row r="1955" ht="12.75">
      <c r="A1955" s="31"/>
    </row>
    <row r="1956" ht="12.75">
      <c r="A1956" s="31"/>
    </row>
    <row r="1957" ht="12.75">
      <c r="A1957" s="31"/>
    </row>
    <row r="1958" ht="12.75">
      <c r="A1958" s="31"/>
    </row>
    <row r="1959" ht="12.75">
      <c r="A1959" s="31"/>
    </row>
    <row r="1960" ht="12.75">
      <c r="A1960" s="31"/>
    </row>
    <row r="1961" ht="12.75">
      <c r="A1961" s="31"/>
    </row>
    <row r="1962" ht="12.75">
      <c r="A1962" s="31"/>
    </row>
    <row r="1963" ht="12.75">
      <c r="A1963" s="31"/>
    </row>
    <row r="1964" ht="12.75">
      <c r="A1964" s="31"/>
    </row>
    <row r="1965" ht="12.75">
      <c r="A1965" s="31"/>
    </row>
    <row r="1966" ht="12.75">
      <c r="A1966" s="31"/>
    </row>
    <row r="1967" ht="12.75">
      <c r="A1967" s="31"/>
    </row>
    <row r="1968" ht="12.75">
      <c r="A1968" s="31"/>
    </row>
    <row r="1969" ht="12.75">
      <c r="A1969" s="31"/>
    </row>
    <row r="1970" ht="12.75">
      <c r="A1970" s="31"/>
    </row>
    <row r="1971" ht="12.75">
      <c r="A1971" s="31"/>
    </row>
    <row r="1972" ht="12.75">
      <c r="A1972" s="31"/>
    </row>
    <row r="1973" ht="12.75">
      <c r="A1973" s="31"/>
    </row>
    <row r="1974" ht="12.75">
      <c r="A1974" s="31"/>
    </row>
    <row r="1975" ht="12.75">
      <c r="A1975" s="31"/>
    </row>
    <row r="1976" ht="12.75">
      <c r="A1976" s="31"/>
    </row>
    <row r="1977" ht="12.75">
      <c r="A1977" s="31"/>
    </row>
    <row r="1978" ht="12.75">
      <c r="A1978" s="31"/>
    </row>
    <row r="1979" ht="12.75">
      <c r="A1979" s="31"/>
    </row>
    <row r="1980" ht="12.75">
      <c r="A1980" s="31"/>
    </row>
    <row r="1981" ht="12.75">
      <c r="A1981" s="31"/>
    </row>
    <row r="1982" ht="12.75">
      <c r="A1982" s="31"/>
    </row>
    <row r="1983" ht="12.75">
      <c r="A1983" s="31"/>
    </row>
    <row r="1984" ht="12.75">
      <c r="A1984" s="31"/>
    </row>
    <row r="1985" ht="12.75">
      <c r="A1985" s="31"/>
    </row>
    <row r="1986" ht="12.75">
      <c r="A1986" s="31"/>
    </row>
    <row r="1987" ht="12.75">
      <c r="A1987" s="31"/>
    </row>
    <row r="1988" ht="12.75">
      <c r="A1988" s="31"/>
    </row>
    <row r="1989" ht="12.75">
      <c r="A1989" s="31"/>
    </row>
    <row r="1990" ht="12.75">
      <c r="A1990" s="31"/>
    </row>
    <row r="1991" ht="12.75">
      <c r="A1991" s="31"/>
    </row>
    <row r="1992" ht="12.75">
      <c r="A1992" s="31"/>
    </row>
    <row r="1993" ht="12.75">
      <c r="A1993" s="31"/>
    </row>
    <row r="1994" ht="12.75">
      <c r="A1994" s="31"/>
    </row>
    <row r="1995" ht="12.75">
      <c r="A1995" s="31"/>
    </row>
    <row r="1996" ht="12.75">
      <c r="A1996" s="31"/>
    </row>
    <row r="1997" ht="12.75">
      <c r="A1997" s="31"/>
    </row>
    <row r="1998" ht="12.75">
      <c r="A1998" s="31"/>
    </row>
    <row r="1999" ht="12.75">
      <c r="A1999" s="31"/>
    </row>
    <row r="2000" ht="12.75">
      <c r="A2000" s="31"/>
    </row>
    <row r="2001" ht="12.75">
      <c r="A2001" s="31"/>
    </row>
    <row r="2002" ht="12.75">
      <c r="A2002" s="2">
        <f>IF(ISTEXT(C2005),1,1+A2003)</f>
        <v>4</v>
      </c>
    </row>
    <row r="2003" ht="12.75">
      <c r="A2003" s="2">
        <f>IF(ISTEXT(C2006),1,1+A2004)</f>
        <v>3</v>
      </c>
    </row>
    <row r="2004" ht="12.75">
      <c r="A2004" s="2">
        <f>IF(ISTEXT(C2007),1,1+A2005)</f>
        <v>2</v>
      </c>
    </row>
    <row r="2005" ht="12.75">
      <c r="A2005" s="2">
        <f>IF(ISTEXT(C2007),1,1+A2006)</f>
        <v>1</v>
      </c>
    </row>
  </sheetData>
  <sheetProtection sheet="1" selectLockedCells="1" selectUnlockedCells="1"/>
  <printOptions/>
  <pageMargins left="0.75" right="0.75" top="1" bottom="1" header="0.5" footer="0.5"/>
  <pageSetup blackAndWhite="1" fitToHeight="1" fitToWidth="1" horizontalDpi="400" verticalDpi="400" orientation="landscape" scale="74" r:id="rId2"/>
  <headerFooter alignWithMargins="0">
    <oddHeader>&amp;L&amp;"Arial,Bold"&amp;14Summary of CO2 Emissions From Mobile Sources&amp;R&amp;"Arial,Bold"&amp;D</oddHeader>
  </headerFooter>
  <drawing r:id="rId1"/>
</worksheet>
</file>

<file path=xl/worksheets/sheet2.xml><?xml version="1.0" encoding="utf-8"?>
<worksheet xmlns="http://schemas.openxmlformats.org/spreadsheetml/2006/main" xmlns:r="http://schemas.openxmlformats.org/officeDocument/2006/relationships">
  <sheetPr codeName="Sheet2"/>
  <dimension ref="A2:AH636"/>
  <sheetViews>
    <sheetView showGridLines="0" zoomScale="85" zoomScaleNormal="85" workbookViewId="0" topLeftCell="A73">
      <selection activeCell="E4" sqref="E4"/>
    </sheetView>
  </sheetViews>
  <sheetFormatPr defaultColWidth="9.140625" defaultRowHeight="12.75"/>
  <cols>
    <col min="1" max="2" width="0.13671875" style="15" customWidth="1"/>
    <col min="3" max="3" width="3.7109375" style="15" customWidth="1"/>
    <col min="4" max="4" width="3.00390625" style="15" customWidth="1"/>
    <col min="5" max="5" width="4.7109375" style="99" customWidth="1"/>
    <col min="6" max="6" width="20.421875" style="15" customWidth="1"/>
    <col min="7" max="7" width="1.57421875" style="15" customWidth="1"/>
    <col min="8" max="8" width="11.8515625" style="15" customWidth="1"/>
    <col min="9" max="9" width="12.140625" style="15" customWidth="1"/>
    <col min="10" max="10" width="2.28125" style="15" customWidth="1"/>
    <col min="11" max="12" width="9.140625" style="15" customWidth="1"/>
    <col min="13" max="13" width="2.00390625" style="15" customWidth="1"/>
    <col min="14" max="15" width="9.140625" style="15" customWidth="1"/>
    <col min="16" max="16" width="4.00390625" style="15" customWidth="1"/>
    <col min="17" max="16384" width="9.140625" style="15" customWidth="1"/>
  </cols>
  <sheetData>
    <row r="1" s="35" customFormat="1" ht="9" customHeight="1" hidden="1"/>
    <row r="2" spans="4:8" s="35" customFormat="1" ht="9" customHeight="1" hidden="1">
      <c r="D2" s="36"/>
      <c r="E2" s="37"/>
      <c r="F2" s="38"/>
      <c r="G2" s="38"/>
      <c r="H2" s="39"/>
    </row>
    <row r="3" s="155" customFormat="1" ht="7.5" customHeight="1" thickBot="1">
      <c r="E3" s="156"/>
    </row>
    <row r="4" spans="4:5" s="157" customFormat="1" ht="24" thickBot="1">
      <c r="D4" s="158" t="s">
        <v>802</v>
      </c>
      <c r="E4" s="159"/>
    </row>
    <row r="5" spans="1:34" s="161" customFormat="1" ht="3.75" customHeight="1" thickBot="1">
      <c r="A5" s="160">
        <f>IF(ISTEXT(D6),1,1+A6)</f>
        <v>6</v>
      </c>
      <c r="C5" s="148"/>
      <c r="D5" s="148"/>
      <c r="E5" s="175"/>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row>
    <row r="6" spans="1:14" s="161" customFormat="1" ht="12" customHeight="1" thickBot="1">
      <c r="A6" s="160">
        <f>IF(ISTEXT(D7),1,1+A7)</f>
        <v>5</v>
      </c>
      <c r="E6" s="162" t="s">
        <v>998</v>
      </c>
      <c r="F6" s="163"/>
      <c r="G6" s="163"/>
      <c r="H6" s="163"/>
      <c r="I6" s="163"/>
      <c r="J6" s="163"/>
      <c r="K6" s="163"/>
      <c r="L6" s="163"/>
      <c r="M6" s="163"/>
      <c r="N6" s="163"/>
    </row>
    <row r="7" spans="1:14" s="161" customFormat="1" ht="23.25" customHeight="1" thickBot="1">
      <c r="A7" s="160">
        <f aca="true" t="shared" si="0" ref="A7:A70">IF(ISTEXT(D8),1,1+A8)</f>
        <v>4</v>
      </c>
      <c r="C7" s="164"/>
      <c r="D7" s="164"/>
      <c r="E7" s="165" t="s">
        <v>999</v>
      </c>
      <c r="F7" s="165"/>
      <c r="G7" s="166"/>
      <c r="H7" s="166"/>
      <c r="I7" s="166"/>
      <c r="J7" s="163"/>
      <c r="K7" s="163"/>
      <c r="L7" s="163"/>
      <c r="M7" s="163"/>
      <c r="N7" s="163"/>
    </row>
    <row r="8" spans="1:14" s="161" customFormat="1" ht="13.5" customHeight="1" thickBot="1">
      <c r="A8" s="160">
        <f t="shared" si="0"/>
        <v>3</v>
      </c>
      <c r="B8" s="972"/>
      <c r="C8" s="978" t="s">
        <v>119</v>
      </c>
      <c r="D8" s="164"/>
      <c r="E8" s="165"/>
      <c r="F8" s="165"/>
      <c r="G8" s="166"/>
      <c r="H8" s="166"/>
      <c r="I8" s="166"/>
      <c r="J8" s="163"/>
      <c r="K8" s="163"/>
      <c r="L8" s="163"/>
      <c r="M8" s="163"/>
      <c r="N8" s="163"/>
    </row>
    <row r="9" spans="1:14" s="161" customFormat="1" ht="13.5" customHeight="1" thickBot="1">
      <c r="A9" s="160">
        <f t="shared" si="0"/>
        <v>2</v>
      </c>
      <c r="B9" s="972"/>
      <c r="C9" s="979" t="s">
        <v>120</v>
      </c>
      <c r="D9" s="974"/>
      <c r="E9" s="975"/>
      <c r="F9" s="975"/>
      <c r="G9" s="976"/>
      <c r="H9" s="976"/>
      <c r="I9" s="976"/>
      <c r="J9" s="977"/>
      <c r="K9" s="977"/>
      <c r="L9" s="977"/>
      <c r="M9" s="977"/>
      <c r="N9" s="977"/>
    </row>
    <row r="10" spans="1:14" s="161" customFormat="1" ht="13.5" customHeight="1" thickBot="1">
      <c r="A10" s="160">
        <f t="shared" si="0"/>
        <v>1</v>
      </c>
      <c r="B10" s="972"/>
      <c r="C10" s="973"/>
      <c r="D10" s="164"/>
      <c r="E10" s="165"/>
      <c r="F10" s="165"/>
      <c r="G10" s="166"/>
      <c r="H10" s="166"/>
      <c r="I10" s="166"/>
      <c r="J10" s="163"/>
      <c r="K10" s="163"/>
      <c r="L10" s="163"/>
      <c r="M10" s="163"/>
      <c r="N10" s="163"/>
    </row>
    <row r="11" spans="1:4" s="130" customFormat="1" ht="20.25" customHeight="1" thickBot="1" thickTop="1">
      <c r="A11" s="160">
        <f t="shared" si="0"/>
        <v>5</v>
      </c>
      <c r="B11" s="131"/>
      <c r="D11" s="132" t="s">
        <v>1000</v>
      </c>
    </row>
    <row r="12" spans="1:14" ht="15" customHeight="1" hidden="1" thickBot="1">
      <c r="A12" s="160">
        <f t="shared" si="0"/>
        <v>4</v>
      </c>
      <c r="B12" s="79"/>
      <c r="E12" s="99" t="s">
        <v>909</v>
      </c>
      <c r="F12" s="102"/>
      <c r="G12" s="102"/>
      <c r="H12" s="102"/>
      <c r="I12" s="102"/>
      <c r="J12" s="102"/>
      <c r="K12" s="102"/>
      <c r="L12" s="102"/>
      <c r="M12" s="102"/>
      <c r="N12" s="102"/>
    </row>
    <row r="13" spans="1:14" ht="15" customHeight="1" hidden="1" thickBot="1">
      <c r="A13" s="160">
        <f t="shared" si="0"/>
        <v>3</v>
      </c>
      <c r="B13" s="79"/>
      <c r="E13" s="100" t="s">
        <v>1001</v>
      </c>
      <c r="F13" s="101"/>
      <c r="G13" s="101"/>
      <c r="H13" s="101"/>
      <c r="I13" s="101"/>
      <c r="J13" s="101"/>
      <c r="K13" s="101"/>
      <c r="L13" s="101"/>
      <c r="M13" s="101"/>
      <c r="N13" s="101"/>
    </row>
    <row r="14" spans="1:5" ht="15" customHeight="1" hidden="1" thickBot="1">
      <c r="A14" s="160">
        <f t="shared" si="0"/>
        <v>2</v>
      </c>
      <c r="B14" s="79"/>
      <c r="E14" s="99" t="s">
        <v>1002</v>
      </c>
    </row>
    <row r="15" spans="1:2" ht="15" customHeight="1" hidden="1" thickBot="1">
      <c r="A15" s="160">
        <f t="shared" si="0"/>
        <v>1</v>
      </c>
      <c r="B15" s="79"/>
    </row>
    <row r="16" spans="1:4" s="130" customFormat="1" ht="20.25" customHeight="1" thickBot="1" thickTop="1">
      <c r="A16" s="160">
        <f t="shared" si="0"/>
        <v>16</v>
      </c>
      <c r="B16" s="131"/>
      <c r="D16" s="132" t="s">
        <v>1003</v>
      </c>
    </row>
    <row r="17" spans="1:14" ht="15" customHeight="1" thickBot="1">
      <c r="A17" s="160">
        <f t="shared" si="0"/>
        <v>15</v>
      </c>
      <c r="B17" s="79"/>
      <c r="E17" s="103" t="s">
        <v>742</v>
      </c>
      <c r="F17" s="104"/>
      <c r="G17" s="104"/>
      <c r="H17" s="104"/>
      <c r="I17" s="104"/>
      <c r="J17" s="104"/>
      <c r="K17" s="104"/>
      <c r="L17" s="104"/>
      <c r="M17" s="104"/>
      <c r="N17" s="104"/>
    </row>
    <row r="18" spans="1:14" ht="15" customHeight="1" thickBot="1">
      <c r="A18" s="160">
        <f t="shared" si="0"/>
        <v>14</v>
      </c>
      <c r="B18" s="79"/>
      <c r="E18" s="103" t="s">
        <v>761</v>
      </c>
      <c r="F18" s="104"/>
      <c r="G18" s="104"/>
      <c r="H18" s="104"/>
      <c r="I18" s="104"/>
      <c r="J18" s="104"/>
      <c r="K18" s="104"/>
      <c r="L18" s="104"/>
      <c r="M18" s="104"/>
      <c r="N18" s="104"/>
    </row>
    <row r="19" spans="1:14" ht="15" customHeight="1" thickBot="1">
      <c r="A19" s="160">
        <f t="shared" si="0"/>
        <v>13</v>
      </c>
      <c r="B19" s="79"/>
      <c r="E19" s="103" t="s">
        <v>768</v>
      </c>
      <c r="F19" s="104"/>
      <c r="G19" s="104"/>
      <c r="H19" s="104"/>
      <c r="I19" s="104"/>
      <c r="J19" s="104"/>
      <c r="K19" s="104"/>
      <c r="L19" s="104"/>
      <c r="M19" s="104"/>
      <c r="N19" s="104"/>
    </row>
    <row r="20" spans="1:14" ht="15" customHeight="1" thickBot="1">
      <c r="A20" s="160">
        <f t="shared" si="0"/>
        <v>12</v>
      </c>
      <c r="B20" s="79"/>
      <c r="E20" s="103" t="s">
        <v>762</v>
      </c>
      <c r="F20" s="104"/>
      <c r="G20" s="104"/>
      <c r="H20" s="104"/>
      <c r="I20" s="104"/>
      <c r="J20" s="104"/>
      <c r="K20" s="104"/>
      <c r="L20" s="104"/>
      <c r="M20" s="104"/>
      <c r="N20" s="104"/>
    </row>
    <row r="21" spans="1:14" s="772" customFormat="1" ht="15" customHeight="1" thickBot="1">
      <c r="A21" s="160">
        <f t="shared" si="0"/>
        <v>11</v>
      </c>
      <c r="B21" s="771"/>
      <c r="E21" s="103" t="s">
        <v>763</v>
      </c>
      <c r="F21" s="104"/>
      <c r="G21" s="104"/>
      <c r="H21" s="104"/>
      <c r="I21" s="104"/>
      <c r="J21" s="104"/>
      <c r="K21" s="104"/>
      <c r="L21" s="104"/>
      <c r="M21" s="104"/>
      <c r="N21" s="104"/>
    </row>
    <row r="22" spans="1:14" ht="15" customHeight="1" thickBot="1">
      <c r="A22" s="160">
        <f t="shared" si="0"/>
        <v>10</v>
      </c>
      <c r="B22" s="79"/>
      <c r="E22" s="103" t="s">
        <v>275</v>
      </c>
      <c r="F22" s="104"/>
      <c r="G22" s="104"/>
      <c r="H22" s="104"/>
      <c r="I22" s="104"/>
      <c r="J22" s="104"/>
      <c r="K22" s="104"/>
      <c r="L22" s="104"/>
      <c r="M22" s="104"/>
      <c r="N22" s="104"/>
    </row>
    <row r="23" spans="1:14" ht="15" customHeight="1" thickBot="1">
      <c r="A23" s="160">
        <f t="shared" si="0"/>
        <v>9</v>
      </c>
      <c r="B23" s="79"/>
      <c r="E23" s="103" t="s">
        <v>764</v>
      </c>
      <c r="F23" s="104"/>
      <c r="G23" s="104"/>
      <c r="H23" s="104"/>
      <c r="I23" s="104"/>
      <c r="J23" s="104"/>
      <c r="K23" s="104"/>
      <c r="L23" s="104"/>
      <c r="M23" s="104"/>
      <c r="N23" s="104"/>
    </row>
    <row r="24" spans="1:14" ht="15" customHeight="1" thickBot="1">
      <c r="A24" s="160">
        <f t="shared" si="0"/>
        <v>8</v>
      </c>
      <c r="B24" s="79"/>
      <c r="E24" s="103" t="s">
        <v>765</v>
      </c>
      <c r="F24" s="104"/>
      <c r="G24" s="104"/>
      <c r="H24" s="104"/>
      <c r="I24" s="104"/>
      <c r="J24" s="104"/>
      <c r="K24" s="104"/>
      <c r="L24" s="104"/>
      <c r="M24" s="104"/>
      <c r="N24" s="104"/>
    </row>
    <row r="25" spans="1:14" ht="15" customHeight="1" thickBot="1">
      <c r="A25" s="160">
        <f t="shared" si="0"/>
        <v>7</v>
      </c>
      <c r="B25" s="79"/>
      <c r="E25" s="103" t="s">
        <v>766</v>
      </c>
      <c r="F25" s="104"/>
      <c r="G25" s="104"/>
      <c r="H25" s="104"/>
      <c r="I25" s="104"/>
      <c r="J25" s="104"/>
      <c r="K25" s="104"/>
      <c r="L25" s="104"/>
      <c r="M25" s="104"/>
      <c r="N25" s="104"/>
    </row>
    <row r="26" spans="1:14" ht="15" customHeight="1" thickBot="1">
      <c r="A26" s="160">
        <f t="shared" si="0"/>
        <v>6</v>
      </c>
      <c r="B26" s="79"/>
      <c r="E26" s="103" t="s">
        <v>767</v>
      </c>
      <c r="F26" s="104"/>
      <c r="G26" s="104"/>
      <c r="H26" s="104"/>
      <c r="I26" s="104"/>
      <c r="J26" s="104"/>
      <c r="K26" s="104"/>
      <c r="L26" s="104"/>
      <c r="M26" s="104"/>
      <c r="N26" s="104"/>
    </row>
    <row r="27" spans="1:14" ht="15" customHeight="1" thickBot="1">
      <c r="A27" s="160">
        <f t="shared" si="0"/>
        <v>5</v>
      </c>
      <c r="B27" s="79"/>
      <c r="E27" s="103"/>
      <c r="F27" s="104"/>
      <c r="G27" s="104"/>
      <c r="H27" s="104"/>
      <c r="I27" s="104"/>
      <c r="J27" s="104"/>
      <c r="K27" s="104"/>
      <c r="L27" s="104"/>
      <c r="M27" s="104"/>
      <c r="N27" s="104"/>
    </row>
    <row r="28" spans="1:5" ht="15" customHeight="1" thickBot="1">
      <c r="A28" s="160">
        <f t="shared" si="0"/>
        <v>4</v>
      </c>
      <c r="B28" s="79"/>
      <c r="E28" s="15" t="s">
        <v>0</v>
      </c>
    </row>
    <row r="29" spans="1:5" ht="15" customHeight="1" thickBot="1">
      <c r="A29" s="160">
        <f t="shared" si="0"/>
        <v>3</v>
      </c>
      <c r="B29" s="79"/>
      <c r="E29" s="15" t="s">
        <v>1</v>
      </c>
    </row>
    <row r="30" spans="1:5" ht="15" customHeight="1" thickBot="1">
      <c r="A30" s="160">
        <f t="shared" si="0"/>
        <v>2</v>
      </c>
      <c r="B30" s="79"/>
      <c r="E30" s="15" t="s">
        <v>2</v>
      </c>
    </row>
    <row r="31" spans="1:2" ht="15" customHeight="1" thickBot="1">
      <c r="A31" s="160">
        <f t="shared" si="0"/>
        <v>1</v>
      </c>
      <c r="B31" s="79"/>
    </row>
    <row r="32" spans="1:4" s="130" customFormat="1" ht="20.25" customHeight="1" thickBot="1" thickTop="1">
      <c r="A32" s="160">
        <f t="shared" si="0"/>
        <v>42</v>
      </c>
      <c r="B32" s="131"/>
      <c r="D32" s="132" t="s">
        <v>3</v>
      </c>
    </row>
    <row r="33" spans="1:14" s="772" customFormat="1" ht="15" customHeight="1" thickBot="1">
      <c r="A33" s="160">
        <f t="shared" si="0"/>
        <v>41</v>
      </c>
      <c r="B33" s="771"/>
      <c r="E33" s="773" t="s">
        <v>721</v>
      </c>
      <c r="F33" s="774"/>
      <c r="G33" s="774"/>
      <c r="H33" s="774"/>
      <c r="I33" s="774"/>
      <c r="J33" s="774"/>
      <c r="K33" s="774"/>
      <c r="L33" s="774"/>
      <c r="M33" s="774"/>
      <c r="N33" s="774"/>
    </row>
    <row r="34" spans="1:5" ht="15" customHeight="1" thickBot="1">
      <c r="A34" s="160">
        <f t="shared" si="0"/>
        <v>40</v>
      </c>
      <c r="B34" s="79"/>
      <c r="E34" s="99" t="s">
        <v>769</v>
      </c>
    </row>
    <row r="35" spans="1:5" ht="15" customHeight="1" thickBot="1">
      <c r="A35" s="160">
        <f t="shared" si="0"/>
        <v>39</v>
      </c>
      <c r="B35" s="79"/>
      <c r="E35" s="99" t="s">
        <v>273</v>
      </c>
    </row>
    <row r="36" spans="1:5" ht="15" customHeight="1" thickBot="1">
      <c r="A36" s="160">
        <f t="shared" si="0"/>
        <v>38</v>
      </c>
      <c r="B36" s="79"/>
      <c r="E36" s="99" t="s">
        <v>770</v>
      </c>
    </row>
    <row r="37" spans="1:5" ht="15" customHeight="1" thickBot="1">
      <c r="A37" s="160">
        <f t="shared" si="0"/>
        <v>37</v>
      </c>
      <c r="B37" s="79"/>
      <c r="E37" s="99" t="s">
        <v>800</v>
      </c>
    </row>
    <row r="38" spans="1:5" ht="15" customHeight="1" thickBot="1">
      <c r="A38" s="160">
        <f t="shared" si="0"/>
        <v>36</v>
      </c>
      <c r="B38" s="79"/>
      <c r="E38" s="99" t="s">
        <v>801</v>
      </c>
    </row>
    <row r="39" spans="1:14" ht="15" customHeight="1" thickBot="1">
      <c r="A39" s="160">
        <f t="shared" si="0"/>
        <v>35</v>
      </c>
      <c r="B39" s="79"/>
      <c r="E39" s="99" t="s">
        <v>571</v>
      </c>
      <c r="F39" s="102"/>
      <c r="G39" s="102"/>
      <c r="H39" s="102"/>
      <c r="I39" s="102"/>
      <c r="J39" s="102"/>
      <c r="K39" s="102"/>
      <c r="L39" s="102"/>
      <c r="M39" s="102"/>
      <c r="N39" s="102"/>
    </row>
    <row r="40" spans="1:14" ht="15" customHeight="1" thickBot="1">
      <c r="A40" s="160">
        <f t="shared" si="0"/>
        <v>34</v>
      </c>
      <c r="B40" s="79"/>
      <c r="E40" s="99" t="s">
        <v>1016</v>
      </c>
      <c r="F40" s="102"/>
      <c r="G40" s="102"/>
      <c r="H40" s="102"/>
      <c r="I40" s="102"/>
      <c r="J40" s="102"/>
      <c r="K40" s="102"/>
      <c r="L40" s="102"/>
      <c r="M40" s="102"/>
      <c r="N40" s="102"/>
    </row>
    <row r="41" spans="1:14" ht="15" customHeight="1" thickBot="1">
      <c r="A41" s="160">
        <f t="shared" si="0"/>
        <v>33</v>
      </c>
      <c r="B41" s="79"/>
      <c r="E41" s="99" t="s">
        <v>775</v>
      </c>
      <c r="F41" s="102"/>
      <c r="G41" s="102"/>
      <c r="H41" s="102"/>
      <c r="I41" s="102"/>
      <c r="J41" s="102"/>
      <c r="K41" s="102"/>
      <c r="L41" s="102"/>
      <c r="M41" s="102"/>
      <c r="N41" s="102"/>
    </row>
    <row r="42" spans="1:14" ht="15" customHeight="1" thickBot="1">
      <c r="A42" s="160">
        <f t="shared" si="0"/>
        <v>32</v>
      </c>
      <c r="B42" s="79"/>
      <c r="E42" s="99" t="s">
        <v>226</v>
      </c>
      <c r="F42" s="102"/>
      <c r="G42" s="102"/>
      <c r="H42" s="102"/>
      <c r="I42" s="102"/>
      <c r="J42" s="102"/>
      <c r="K42" s="102"/>
      <c r="L42" s="102"/>
      <c r="M42" s="102"/>
      <c r="N42" s="102"/>
    </row>
    <row r="43" spans="1:14" ht="15" customHeight="1" thickBot="1">
      <c r="A43" s="160">
        <f t="shared" si="0"/>
        <v>31</v>
      </c>
      <c r="B43" s="79"/>
      <c r="E43" s="203" t="s">
        <v>843</v>
      </c>
      <c r="F43" s="102"/>
      <c r="G43" s="102"/>
      <c r="H43" s="102"/>
      <c r="I43" s="102"/>
      <c r="J43" s="102"/>
      <c r="K43" s="102"/>
      <c r="L43" s="102"/>
      <c r="M43" s="102"/>
      <c r="N43" s="102"/>
    </row>
    <row r="44" spans="1:14" s="772" customFormat="1" ht="15" customHeight="1" thickBot="1">
      <c r="A44" s="160">
        <f t="shared" si="0"/>
        <v>30</v>
      </c>
      <c r="B44" s="771"/>
      <c r="E44" s="203" t="s">
        <v>803</v>
      </c>
      <c r="F44" s="774"/>
      <c r="G44" s="774"/>
      <c r="H44" s="774"/>
      <c r="I44" s="774"/>
      <c r="J44" s="774"/>
      <c r="K44" s="774"/>
      <c r="L44" s="774"/>
      <c r="M44" s="774"/>
      <c r="N44" s="774"/>
    </row>
    <row r="45" spans="1:14" s="772" customFormat="1" ht="15" customHeight="1" thickBot="1">
      <c r="A45" s="160">
        <f t="shared" si="0"/>
        <v>29</v>
      </c>
      <c r="B45" s="771"/>
      <c r="E45" s="203"/>
      <c r="F45" s="774"/>
      <c r="G45" s="774"/>
      <c r="H45" s="774"/>
      <c r="I45" s="774"/>
      <c r="J45" s="774"/>
      <c r="K45" s="774"/>
      <c r="L45" s="774"/>
      <c r="M45" s="774"/>
      <c r="N45" s="774"/>
    </row>
    <row r="46" spans="1:16" s="772" customFormat="1" ht="15" customHeight="1" thickBot="1">
      <c r="A46" s="160">
        <f t="shared" si="0"/>
        <v>28</v>
      </c>
      <c r="B46" s="771"/>
      <c r="E46" s="941" t="s">
        <v>213</v>
      </c>
      <c r="F46" s="490"/>
      <c r="G46" s="490"/>
      <c r="H46" s="490"/>
      <c r="I46" s="490"/>
      <c r="J46" s="490"/>
      <c r="K46" s="490"/>
      <c r="L46" s="490"/>
      <c r="M46" s="490"/>
      <c r="N46" s="490"/>
      <c r="O46" s="490"/>
      <c r="P46" s="490"/>
    </row>
    <row r="47" spans="1:16" s="772" customFormat="1" ht="15" customHeight="1" thickBot="1">
      <c r="A47" s="160">
        <f t="shared" si="0"/>
        <v>27</v>
      </c>
      <c r="B47" s="771"/>
      <c r="E47" s="825" t="s">
        <v>214</v>
      </c>
      <c r="F47" s="203"/>
      <c r="G47"/>
      <c r="H47"/>
      <c r="I47"/>
      <c r="J47"/>
      <c r="K47"/>
      <c r="L47"/>
      <c r="M47"/>
      <c r="N47"/>
      <c r="O47"/>
      <c r="P47"/>
    </row>
    <row r="48" spans="1:16" s="772" customFormat="1" ht="15" customHeight="1" thickBot="1">
      <c r="A48" s="160">
        <f t="shared" si="0"/>
        <v>26</v>
      </c>
      <c r="B48" s="771"/>
      <c r="E48" s="203"/>
      <c r="F48" s="203"/>
      <c r="G48" s="203"/>
      <c r="H48" s="203"/>
      <c r="I48" s="203"/>
      <c r="J48" s="203"/>
      <c r="K48" s="203"/>
      <c r="L48" s="203"/>
      <c r="M48" s="203"/>
      <c r="N48" s="203"/>
      <c r="O48" s="203"/>
      <c r="P48" s="203"/>
    </row>
    <row r="49" spans="1:16" s="772" customFormat="1" ht="15" customHeight="1" thickBot="1">
      <c r="A49" s="160">
        <f t="shared" si="0"/>
        <v>25</v>
      </c>
      <c r="B49" s="771"/>
      <c r="E49"/>
      <c r="F49" t="s">
        <v>215</v>
      </c>
      <c r="G49"/>
      <c r="H49"/>
      <c r="I49"/>
      <c r="J49"/>
      <c r="K49"/>
      <c r="L49" t="s">
        <v>216</v>
      </c>
      <c r="M49"/>
      <c r="N49"/>
      <c r="O49"/>
      <c r="P49"/>
    </row>
    <row r="50" spans="1:16" s="772" customFormat="1" ht="15" customHeight="1" thickBot="1">
      <c r="A50" s="160">
        <f t="shared" si="0"/>
        <v>24</v>
      </c>
      <c r="B50" s="771"/>
      <c r="E50"/>
      <c r="F50"/>
      <c r="G50"/>
      <c r="H50"/>
      <c r="I50"/>
      <c r="J50"/>
      <c r="K50"/>
      <c r="L50" t="s">
        <v>217</v>
      </c>
      <c r="M50"/>
      <c r="N50"/>
      <c r="O50"/>
      <c r="P50"/>
    </row>
    <row r="51" spans="1:16" s="772" customFormat="1" ht="15" customHeight="1" thickBot="1">
      <c r="A51" s="160">
        <f t="shared" si="0"/>
        <v>23</v>
      </c>
      <c r="B51" s="771"/>
      <c r="E51"/>
      <c r="F51"/>
      <c r="G51"/>
      <c r="H51"/>
      <c r="I51" s="942"/>
      <c r="J51" s="320" t="s">
        <v>218</v>
      </c>
      <c r="K51"/>
      <c r="L51"/>
      <c r="M51"/>
      <c r="N51"/>
      <c r="O51"/>
      <c r="P51"/>
    </row>
    <row r="52" spans="1:16" s="772" customFormat="1" ht="15" customHeight="1" thickBot="1">
      <c r="A52" s="160">
        <f t="shared" si="0"/>
        <v>22</v>
      </c>
      <c r="B52" s="771"/>
      <c r="E52"/>
      <c r="F52" s="320" t="s">
        <v>215</v>
      </c>
      <c r="G52"/>
      <c r="H52"/>
      <c r="I52"/>
      <c r="J52" s="320" t="s">
        <v>219</v>
      </c>
      <c r="K52"/>
      <c r="L52"/>
      <c r="M52"/>
      <c r="N52"/>
      <c r="O52"/>
      <c r="P52"/>
    </row>
    <row r="53" spans="1:16" s="772" customFormat="1" ht="15" customHeight="1" thickBot="1">
      <c r="A53" s="160">
        <f t="shared" si="0"/>
        <v>21</v>
      </c>
      <c r="B53" s="771"/>
      <c r="E53"/>
      <c r="F53"/>
      <c r="G53"/>
      <c r="H53"/>
      <c r="K53"/>
      <c r="L53"/>
      <c r="M53"/>
      <c r="N53"/>
      <c r="O53"/>
      <c r="P53"/>
    </row>
    <row r="54" spans="1:16" s="772" customFormat="1" ht="15" customHeight="1" thickBot="1">
      <c r="A54" s="160">
        <f t="shared" si="0"/>
        <v>20</v>
      </c>
      <c r="B54" s="771"/>
      <c r="E54"/>
      <c r="F54"/>
      <c r="H54"/>
      <c r="I54"/>
      <c r="J54"/>
      <c r="K54"/>
      <c r="L54"/>
      <c r="M54"/>
      <c r="N54"/>
      <c r="O54"/>
      <c r="P54"/>
    </row>
    <row r="55" spans="1:16" s="772" customFormat="1" ht="15" customHeight="1" thickBot="1">
      <c r="A55" s="160">
        <f t="shared" si="0"/>
        <v>19</v>
      </c>
      <c r="B55" s="771"/>
      <c r="E55"/>
      <c r="F55"/>
      <c r="G55"/>
      <c r="H55"/>
      <c r="I55"/>
      <c r="J55"/>
      <c r="K55"/>
      <c r="L55"/>
      <c r="M55"/>
      <c r="N55"/>
      <c r="O55"/>
      <c r="P55"/>
    </row>
    <row r="56" spans="1:16" s="772" customFormat="1" ht="15" customHeight="1" thickBot="1">
      <c r="A56" s="160">
        <f t="shared" si="0"/>
        <v>18</v>
      </c>
      <c r="B56" s="771"/>
      <c r="E56"/>
      <c r="F56"/>
      <c r="G56"/>
      <c r="H56"/>
      <c r="I56"/>
      <c r="J56"/>
      <c r="K56"/>
      <c r="L56"/>
      <c r="M56"/>
      <c r="N56"/>
      <c r="O56"/>
      <c r="P56"/>
    </row>
    <row r="57" spans="1:16" s="772" customFormat="1" ht="15" customHeight="1" thickBot="1">
      <c r="A57" s="160">
        <f t="shared" si="0"/>
        <v>17</v>
      </c>
      <c r="B57" s="771"/>
      <c r="E57"/>
      <c r="F57"/>
      <c r="G57"/>
      <c r="H57"/>
      <c r="I57"/>
      <c r="J57"/>
      <c r="K57"/>
      <c r="L57"/>
      <c r="M57"/>
      <c r="N57"/>
      <c r="O57"/>
      <c r="P57"/>
    </row>
    <row r="58" spans="1:16" s="772" customFormat="1" ht="15" customHeight="1" thickBot="1">
      <c r="A58" s="160">
        <f t="shared" si="0"/>
        <v>16</v>
      </c>
      <c r="B58" s="771"/>
      <c r="E58"/>
      <c r="F58"/>
      <c r="G58"/>
      <c r="H58"/>
      <c r="I58"/>
      <c r="J58"/>
      <c r="K58"/>
      <c r="L58"/>
      <c r="M58"/>
      <c r="N58"/>
      <c r="O58"/>
      <c r="P58"/>
    </row>
    <row r="59" spans="1:16" s="772" customFormat="1" ht="15" customHeight="1" thickBot="1">
      <c r="A59" s="160">
        <f t="shared" si="0"/>
        <v>15</v>
      </c>
      <c r="B59" s="771"/>
      <c r="E59" s="320" t="s">
        <v>220</v>
      </c>
      <c r="F59" s="320" t="s">
        <v>220</v>
      </c>
      <c r="G59" s="320"/>
      <c r="H59" s="219"/>
      <c r="I59"/>
      <c r="J59"/>
      <c r="K59" s="958" t="s">
        <v>220</v>
      </c>
      <c r="L59"/>
      <c r="M59"/>
      <c r="N59"/>
      <c r="O59"/>
      <c r="P59"/>
    </row>
    <row r="60" spans="1:16" s="772" customFormat="1" ht="15" customHeight="1" thickBot="1">
      <c r="A60" s="160">
        <f t="shared" si="0"/>
        <v>14</v>
      </c>
      <c r="B60" s="771"/>
      <c r="E60" s="320" t="s">
        <v>221</v>
      </c>
      <c r="F60" s="320" t="s">
        <v>221</v>
      </c>
      <c r="H60"/>
      <c r="I60"/>
      <c r="J60"/>
      <c r="K60" s="958" t="s">
        <v>222</v>
      </c>
      <c r="L60"/>
      <c r="M60"/>
      <c r="N60"/>
      <c r="O60"/>
      <c r="P60"/>
    </row>
    <row r="61" spans="1:16" s="772" customFormat="1" ht="15" customHeight="1" thickBot="1">
      <c r="A61" s="160">
        <f t="shared" si="0"/>
        <v>13</v>
      </c>
      <c r="B61" s="771"/>
      <c r="E61" s="320" t="s">
        <v>219</v>
      </c>
      <c r="F61" s="320" t="s">
        <v>219</v>
      </c>
      <c r="H61"/>
      <c r="I61"/>
      <c r="J61"/>
      <c r="K61" s="958" t="s">
        <v>219</v>
      </c>
      <c r="L61"/>
      <c r="M61"/>
      <c r="N61"/>
      <c r="O61"/>
      <c r="P61"/>
    </row>
    <row r="62" spans="1:16" s="772" customFormat="1" ht="15" customHeight="1" thickBot="1">
      <c r="A62" s="160">
        <f t="shared" si="0"/>
        <v>12</v>
      </c>
      <c r="B62" s="771"/>
      <c r="E62"/>
      <c r="F62"/>
      <c r="G62"/>
      <c r="H62"/>
      <c r="I62"/>
      <c r="J62"/>
      <c r="K62"/>
      <c r="L62"/>
      <c r="M62"/>
      <c r="N62"/>
      <c r="O62"/>
      <c r="P62"/>
    </row>
    <row r="63" spans="1:16" s="772" customFormat="1" ht="15" customHeight="1" thickBot="1">
      <c r="A63" s="160">
        <f t="shared" si="0"/>
        <v>11</v>
      </c>
      <c r="B63" s="771"/>
      <c r="E63"/>
      <c r="F63"/>
      <c r="G63"/>
      <c r="H63"/>
      <c r="I63"/>
      <c r="J63"/>
      <c r="K63"/>
      <c r="L63"/>
      <c r="M63"/>
      <c r="N63"/>
      <c r="O63"/>
      <c r="P63"/>
    </row>
    <row r="64" spans="1:16" s="772" customFormat="1" ht="15" customHeight="1" thickBot="1">
      <c r="A64" s="160">
        <f t="shared" si="0"/>
        <v>10</v>
      </c>
      <c r="B64" s="771"/>
      <c r="E64"/>
      <c r="F64" t="s">
        <v>38</v>
      </c>
      <c r="G64"/>
      <c r="H64"/>
      <c r="I64"/>
      <c r="J64"/>
      <c r="K64"/>
      <c r="L64" t="s">
        <v>38</v>
      </c>
      <c r="M64"/>
      <c r="N64"/>
      <c r="O64"/>
      <c r="P64"/>
    </row>
    <row r="65" spans="1:16" s="772" customFormat="1" ht="15" customHeight="1" thickBot="1">
      <c r="A65" s="160">
        <f t="shared" si="0"/>
        <v>9</v>
      </c>
      <c r="B65" s="771"/>
      <c r="E65"/>
      <c r="F65"/>
      <c r="G65"/>
      <c r="H65"/>
      <c r="I65"/>
      <c r="J65"/>
      <c r="K65"/>
      <c r="L65"/>
      <c r="M65"/>
      <c r="N65"/>
      <c r="O65"/>
      <c r="P65"/>
    </row>
    <row r="66" spans="1:16" s="772" customFormat="1" ht="15" customHeight="1" thickBot="1">
      <c r="A66" s="160">
        <f t="shared" si="0"/>
        <v>8</v>
      </c>
      <c r="B66" s="771"/>
      <c r="E66"/>
      <c r="F66" s="943" t="s">
        <v>223</v>
      </c>
      <c r="G66"/>
      <c r="H66"/>
      <c r="I66"/>
      <c r="J66"/>
      <c r="K66"/>
      <c r="L66"/>
      <c r="M66"/>
      <c r="N66"/>
      <c r="O66"/>
      <c r="P66"/>
    </row>
    <row r="67" spans="1:16" s="772" customFormat="1" ht="15" customHeight="1" thickBot="1">
      <c r="A67" s="160">
        <f t="shared" si="0"/>
        <v>7</v>
      </c>
      <c r="B67" s="771"/>
      <c r="E67"/>
      <c r="F67" s="944" t="s">
        <v>224</v>
      </c>
      <c r="G67"/>
      <c r="H67"/>
      <c r="I67"/>
      <c r="J67"/>
      <c r="K67"/>
      <c r="L67"/>
      <c r="M67"/>
      <c r="N67"/>
      <c r="O67"/>
      <c r="P67"/>
    </row>
    <row r="68" spans="1:16" s="772" customFormat="1" ht="15" customHeight="1" thickBot="1">
      <c r="A68" s="160">
        <f t="shared" si="0"/>
        <v>6</v>
      </c>
      <c r="B68" s="771"/>
      <c r="E68"/>
      <c r="F68" s="945" t="s">
        <v>225</v>
      </c>
      <c r="G68"/>
      <c r="H68"/>
      <c r="I68"/>
      <c r="J68"/>
      <c r="K68"/>
      <c r="L68"/>
      <c r="M68"/>
      <c r="N68"/>
      <c r="O68"/>
      <c r="P68"/>
    </row>
    <row r="69" spans="1:14" s="772" customFormat="1" ht="15" customHeight="1" thickBot="1">
      <c r="A69" s="160">
        <f t="shared" si="0"/>
        <v>5</v>
      </c>
      <c r="B69" s="771"/>
      <c r="E69" s="203"/>
      <c r="F69" s="774"/>
      <c r="G69" s="774"/>
      <c r="H69" s="774"/>
      <c r="I69" s="774"/>
      <c r="J69" s="774"/>
      <c r="K69" s="774"/>
      <c r="L69" s="774"/>
      <c r="M69" s="774"/>
      <c r="N69" s="774"/>
    </row>
    <row r="70" spans="1:14" s="772" customFormat="1" ht="15" customHeight="1" thickBot="1">
      <c r="A70" s="160">
        <f t="shared" si="0"/>
        <v>4</v>
      </c>
      <c r="B70" s="771"/>
      <c r="E70" s="203"/>
      <c r="F70" s="774"/>
      <c r="G70" s="774"/>
      <c r="H70" s="774"/>
      <c r="I70" s="774"/>
      <c r="J70" s="774"/>
      <c r="K70" s="774"/>
      <c r="L70" s="774"/>
      <c r="M70" s="774"/>
      <c r="N70" s="774"/>
    </row>
    <row r="71" spans="1:14" s="772" customFormat="1" ht="15" customHeight="1" thickBot="1">
      <c r="A71" s="160">
        <f aca="true" t="shared" si="1" ref="A71:A134">IF(ISTEXT(D72),1,1+A72)</f>
        <v>3</v>
      </c>
      <c r="B71" s="771"/>
      <c r="E71" s="203"/>
      <c r="F71" s="774"/>
      <c r="G71" s="774"/>
      <c r="H71" s="774"/>
      <c r="I71" s="774"/>
      <c r="J71" s="774"/>
      <c r="K71" s="774"/>
      <c r="L71" s="774"/>
      <c r="M71" s="774"/>
      <c r="N71" s="774"/>
    </row>
    <row r="72" spans="1:14" s="772" customFormat="1" ht="15" customHeight="1" thickBot="1">
      <c r="A72" s="160">
        <f t="shared" si="1"/>
        <v>2</v>
      </c>
      <c r="B72" s="771"/>
      <c r="E72" s="203"/>
      <c r="F72" s="774"/>
      <c r="G72" s="774"/>
      <c r="H72" s="774"/>
      <c r="I72" s="774"/>
      <c r="J72" s="774"/>
      <c r="K72" s="774"/>
      <c r="L72" s="774"/>
      <c r="M72" s="774"/>
      <c r="N72" s="774"/>
    </row>
    <row r="73" spans="1:14" ht="15" customHeight="1" thickBot="1">
      <c r="A73" s="160">
        <f t="shared" si="1"/>
        <v>1</v>
      </c>
      <c r="B73" s="79"/>
      <c r="E73"/>
      <c r="F73" s="102"/>
      <c r="G73" s="102"/>
      <c r="H73" s="102"/>
      <c r="I73" s="102"/>
      <c r="J73" s="102"/>
      <c r="K73" s="102"/>
      <c r="L73" s="102"/>
      <c r="M73" s="102"/>
      <c r="N73" s="102"/>
    </row>
    <row r="74" spans="1:19" s="237" customFormat="1" ht="20.25" customHeight="1" thickBot="1" thickTop="1">
      <c r="A74" s="160">
        <f t="shared" si="1"/>
        <v>13</v>
      </c>
      <c r="B74" s="236"/>
      <c r="D74" s="132" t="s">
        <v>5</v>
      </c>
      <c r="E74" s="130"/>
      <c r="F74" s="130"/>
      <c r="G74" s="130"/>
      <c r="H74" s="130"/>
      <c r="I74" s="130"/>
      <c r="J74" s="130"/>
      <c r="K74" s="130"/>
      <c r="L74" s="130"/>
      <c r="M74" s="130"/>
      <c r="N74" s="130"/>
      <c r="O74" s="130"/>
      <c r="P74" s="130"/>
      <c r="Q74" s="130"/>
      <c r="R74" s="130"/>
      <c r="S74" s="130"/>
    </row>
    <row r="75" spans="1:20" s="226" customFormat="1" ht="15" customHeight="1" thickBot="1" thickTop="1">
      <c r="A75" s="160">
        <f t="shared" si="1"/>
        <v>12</v>
      </c>
      <c r="B75" s="227"/>
      <c r="C75" s="15"/>
      <c r="D75" s="15"/>
      <c r="E75" s="105">
        <v>1</v>
      </c>
      <c r="F75" s="15" t="s">
        <v>6</v>
      </c>
      <c r="G75" s="15"/>
      <c r="H75" s="15"/>
      <c r="I75" s="15"/>
      <c r="J75" s="15"/>
      <c r="K75" s="15"/>
      <c r="L75" s="15"/>
      <c r="M75" s="15"/>
      <c r="N75" s="15"/>
      <c r="O75" s="15"/>
      <c r="P75" s="15"/>
      <c r="Q75" s="15"/>
      <c r="R75" s="15"/>
      <c r="S75" s="15"/>
      <c r="T75" s="15"/>
    </row>
    <row r="76" spans="1:20" s="718" customFormat="1" ht="15" customHeight="1" thickBot="1">
      <c r="A76" s="160">
        <f t="shared" si="1"/>
        <v>11</v>
      </c>
      <c r="B76" s="717"/>
      <c r="C76" s="15"/>
      <c r="D76" s="15"/>
      <c r="E76" s="105">
        <v>2</v>
      </c>
      <c r="F76" s="15" t="s">
        <v>837</v>
      </c>
      <c r="G76" s="15"/>
      <c r="H76" s="15"/>
      <c r="I76" s="15"/>
      <c r="J76" s="15"/>
      <c r="K76" s="15"/>
      <c r="L76" s="15"/>
      <c r="M76" s="15"/>
      <c r="N76" s="15"/>
      <c r="O76" s="15"/>
      <c r="P76" s="15"/>
      <c r="Q76" s="15"/>
      <c r="R76" s="15"/>
      <c r="S76" s="15"/>
      <c r="T76" s="15"/>
    </row>
    <row r="77" spans="1:20" s="718" customFormat="1" ht="15" customHeight="1" thickBot="1">
      <c r="A77" s="160">
        <f t="shared" si="1"/>
        <v>10</v>
      </c>
      <c r="B77" s="717"/>
      <c r="C77" s="15"/>
      <c r="D77" s="15"/>
      <c r="E77" s="105"/>
      <c r="F77" s="15" t="s">
        <v>836</v>
      </c>
      <c r="G77" s="15"/>
      <c r="H77" s="15"/>
      <c r="I77" s="15"/>
      <c r="J77" s="15"/>
      <c r="K77" s="15"/>
      <c r="L77" s="15"/>
      <c r="M77" s="15"/>
      <c r="N77" s="15"/>
      <c r="O77" s="15"/>
      <c r="P77" s="15"/>
      <c r="Q77" s="15"/>
      <c r="R77" s="15"/>
      <c r="S77" s="15"/>
      <c r="T77" s="15"/>
    </row>
    <row r="78" spans="1:6" ht="15" customHeight="1" thickBot="1">
      <c r="A78" s="160">
        <f t="shared" si="1"/>
        <v>9</v>
      </c>
      <c r="B78" s="79"/>
      <c r="E78" s="105">
        <v>3</v>
      </c>
      <c r="F78" s="15" t="s">
        <v>838</v>
      </c>
    </row>
    <row r="79" spans="1:6" ht="15" customHeight="1" thickBot="1">
      <c r="A79" s="160">
        <f t="shared" si="1"/>
        <v>8</v>
      </c>
      <c r="B79" s="79"/>
      <c r="E79" s="105"/>
      <c r="F79" s="15" t="s">
        <v>839</v>
      </c>
    </row>
    <row r="80" spans="1:6" ht="15" customHeight="1" thickBot="1">
      <c r="A80" s="160">
        <f t="shared" si="1"/>
        <v>7</v>
      </c>
      <c r="B80" s="79"/>
      <c r="E80" s="105">
        <v>4</v>
      </c>
      <c r="F80" s="15" t="s">
        <v>7</v>
      </c>
    </row>
    <row r="81" spans="1:6" ht="15" customHeight="1" thickBot="1">
      <c r="A81" s="160">
        <f t="shared" si="1"/>
        <v>6</v>
      </c>
      <c r="B81" s="79"/>
      <c r="E81" s="105"/>
      <c r="F81" s="15" t="s">
        <v>8</v>
      </c>
    </row>
    <row r="82" spans="1:6" ht="15" customHeight="1" thickBot="1">
      <c r="A82" s="160">
        <f t="shared" si="1"/>
        <v>5</v>
      </c>
      <c r="B82" s="79"/>
      <c r="E82" s="105"/>
      <c r="F82" s="15" t="s">
        <v>840</v>
      </c>
    </row>
    <row r="83" spans="1:6" ht="15" customHeight="1" thickBot="1">
      <c r="A83" s="160">
        <f t="shared" si="1"/>
        <v>4</v>
      </c>
      <c r="B83" s="79"/>
      <c r="E83" s="105"/>
      <c r="F83" s="15" t="s">
        <v>841</v>
      </c>
    </row>
    <row r="84" spans="1:6" ht="15" customHeight="1" thickBot="1">
      <c r="A84" s="160">
        <f t="shared" si="1"/>
        <v>3</v>
      </c>
      <c r="B84" s="79"/>
      <c r="E84" s="105">
        <v>5</v>
      </c>
      <c r="F84" s="15" t="s">
        <v>776</v>
      </c>
    </row>
    <row r="85" spans="1:6" ht="15" customHeight="1" thickBot="1">
      <c r="A85" s="160">
        <f t="shared" si="1"/>
        <v>2</v>
      </c>
      <c r="B85" s="79"/>
      <c r="E85" s="105"/>
      <c r="F85" s="15" t="s">
        <v>9</v>
      </c>
    </row>
    <row r="86" spans="1:5" ht="15" customHeight="1" thickBot="1">
      <c r="A86" s="160">
        <f t="shared" si="1"/>
        <v>1</v>
      </c>
      <c r="B86" s="79"/>
      <c r="E86" s="105"/>
    </row>
    <row r="87" spans="1:19" s="237" customFormat="1" ht="20.25" customHeight="1" thickBot="1" thickTop="1">
      <c r="A87" s="160">
        <f t="shared" si="1"/>
        <v>10</v>
      </c>
      <c r="B87" s="236"/>
      <c r="D87" s="132" t="s">
        <v>10</v>
      </c>
      <c r="E87" s="133"/>
      <c r="F87" s="130"/>
      <c r="G87" s="130"/>
      <c r="H87" s="130"/>
      <c r="I87" s="130"/>
      <c r="J87" s="130"/>
      <c r="K87" s="130"/>
      <c r="L87" s="130"/>
      <c r="M87" s="130"/>
      <c r="N87" s="130"/>
      <c r="O87" s="130"/>
      <c r="P87" s="130"/>
      <c r="Q87" s="130"/>
      <c r="R87" s="130"/>
      <c r="S87" s="130"/>
    </row>
    <row r="88" spans="1:20" ht="15" customHeight="1" thickBot="1" thickTop="1">
      <c r="A88" s="160">
        <f t="shared" si="1"/>
        <v>9</v>
      </c>
      <c r="B88" s="79"/>
      <c r="C88" s="228"/>
      <c r="D88" s="22"/>
      <c r="E88" s="106">
        <v>1</v>
      </c>
      <c r="F88" s="20" t="s">
        <v>11</v>
      </c>
      <c r="G88" s="20"/>
      <c r="H88" s="23" t="s">
        <v>12</v>
      </c>
      <c r="I88" s="815" t="s">
        <v>13</v>
      </c>
      <c r="J88" s="20"/>
      <c r="K88" s="230" t="s">
        <v>14</v>
      </c>
      <c r="L88" s="231"/>
      <c r="M88" s="20"/>
      <c r="N88" s="232" t="s">
        <v>15</v>
      </c>
      <c r="O88" s="233"/>
      <c r="P88" s="20"/>
      <c r="Q88" s="234" t="s">
        <v>16</v>
      </c>
      <c r="R88" s="235"/>
      <c r="T88" s="228"/>
    </row>
    <row r="89" spans="1:20" s="226" customFormat="1" ht="15" customHeight="1" thickBot="1" thickTop="1">
      <c r="A89" s="160">
        <f t="shared" si="1"/>
        <v>8</v>
      </c>
      <c r="B89" s="79"/>
      <c r="C89" s="20"/>
      <c r="D89" s="22"/>
      <c r="E89" s="106"/>
      <c r="F89" s="20" t="s">
        <v>777</v>
      </c>
      <c r="G89" s="20"/>
      <c r="H89" s="26" t="s">
        <v>17</v>
      </c>
      <c r="I89" s="229" t="s">
        <v>18</v>
      </c>
      <c r="J89" s="28"/>
      <c r="K89" s="107" t="s">
        <v>19</v>
      </c>
      <c r="L89" s="108"/>
      <c r="M89" s="20"/>
      <c r="N89" s="109" t="s">
        <v>20</v>
      </c>
      <c r="O89" s="110"/>
      <c r="P89" s="20"/>
      <c r="Q89" s="111" t="s">
        <v>21</v>
      </c>
      <c r="R89" s="112"/>
      <c r="S89" s="15"/>
      <c r="T89" s="15"/>
    </row>
    <row r="90" spans="1:17" ht="15" customHeight="1" thickBot="1">
      <c r="A90" s="160">
        <f t="shared" si="1"/>
        <v>7</v>
      </c>
      <c r="B90" s="79"/>
      <c r="C90" s="20"/>
      <c r="D90" s="22"/>
      <c r="E90" s="106">
        <v>2</v>
      </c>
      <c r="F90" s="20" t="s">
        <v>229</v>
      </c>
      <c r="G90" s="20"/>
      <c r="H90" s="27"/>
      <c r="I90" s="27"/>
      <c r="J90" s="27"/>
      <c r="K90" s="27"/>
      <c r="L90" s="27"/>
      <c r="M90" s="27"/>
      <c r="N90" s="27"/>
      <c r="O90" s="27"/>
      <c r="P90" s="27"/>
      <c r="Q90" s="20"/>
    </row>
    <row r="91" spans="1:18" ht="15" customHeight="1" thickBot="1">
      <c r="A91" s="160">
        <f t="shared" si="1"/>
        <v>6</v>
      </c>
      <c r="B91" s="79"/>
      <c r="C91" s="20"/>
      <c r="D91" s="22"/>
      <c r="E91" s="106">
        <v>3</v>
      </c>
      <c r="F91" s="775" t="s">
        <v>804</v>
      </c>
      <c r="G91" s="128"/>
      <c r="H91" s="128"/>
      <c r="I91" s="128"/>
      <c r="J91" s="128"/>
      <c r="K91" s="128"/>
      <c r="L91" s="128"/>
      <c r="M91" s="128"/>
      <c r="N91" s="128"/>
      <c r="O91" s="128"/>
      <c r="P91" s="27"/>
      <c r="Q91" s="20"/>
      <c r="R91" s="99"/>
    </row>
    <row r="92" spans="1:18" ht="15" customHeight="1" thickBot="1">
      <c r="A92" s="160">
        <f t="shared" si="1"/>
        <v>5</v>
      </c>
      <c r="B92" s="79"/>
      <c r="C92" s="20"/>
      <c r="D92" s="22"/>
      <c r="E92" s="106"/>
      <c r="F92" s="128" t="s">
        <v>22</v>
      </c>
      <c r="G92" s="128"/>
      <c r="H92" s="128"/>
      <c r="I92" s="128"/>
      <c r="J92" s="128"/>
      <c r="K92" s="128"/>
      <c r="L92" s="128"/>
      <c r="M92" s="128"/>
      <c r="N92" s="128"/>
      <c r="O92" s="128"/>
      <c r="P92" s="27"/>
      <c r="Q92" s="20"/>
      <c r="R92" s="99"/>
    </row>
    <row r="93" spans="1:18" ht="15" customHeight="1" thickBot="1">
      <c r="A93" s="160">
        <f t="shared" si="1"/>
        <v>4</v>
      </c>
      <c r="B93" s="79"/>
      <c r="C93" s="20"/>
      <c r="D93" s="22"/>
      <c r="E93" s="106">
        <v>4</v>
      </c>
      <c r="F93" s="128" t="s">
        <v>227</v>
      </c>
      <c r="G93" s="128"/>
      <c r="H93" s="128"/>
      <c r="I93" s="128"/>
      <c r="J93" s="128"/>
      <c r="K93" s="128"/>
      <c r="L93" s="128"/>
      <c r="M93" s="128"/>
      <c r="N93" s="128"/>
      <c r="O93" s="128"/>
      <c r="P93" s="27"/>
      <c r="Q93" s="20"/>
      <c r="R93" s="99"/>
    </row>
    <row r="94" spans="1:18" ht="15" customHeight="1" thickBot="1">
      <c r="A94" s="160">
        <f t="shared" si="1"/>
        <v>3</v>
      </c>
      <c r="B94" s="79"/>
      <c r="C94" s="20"/>
      <c r="D94" s="22"/>
      <c r="E94" s="106">
        <v>5</v>
      </c>
      <c r="F94" s="128" t="s">
        <v>844</v>
      </c>
      <c r="G94" s="128"/>
      <c r="H94" s="128"/>
      <c r="I94" s="128"/>
      <c r="J94" s="128"/>
      <c r="K94" s="128"/>
      <c r="L94" s="128"/>
      <c r="M94" s="128"/>
      <c r="N94" s="128"/>
      <c r="O94" s="128"/>
      <c r="P94" s="27"/>
      <c r="Q94" s="20"/>
      <c r="R94" s="99"/>
    </row>
    <row r="95" spans="1:18" ht="15" customHeight="1" thickBot="1">
      <c r="A95" s="160">
        <f t="shared" si="1"/>
        <v>2</v>
      </c>
      <c r="B95" s="79"/>
      <c r="C95" s="20"/>
      <c r="D95" s="22"/>
      <c r="E95" s="106">
        <v>6</v>
      </c>
      <c r="F95" s="128" t="s">
        <v>228</v>
      </c>
      <c r="G95" s="128"/>
      <c r="H95" s="128"/>
      <c r="I95" s="128"/>
      <c r="J95" s="128"/>
      <c r="K95" s="128"/>
      <c r="L95" s="128"/>
      <c r="M95" s="128"/>
      <c r="N95" s="128"/>
      <c r="O95" s="128"/>
      <c r="P95" s="27"/>
      <c r="Q95" s="20"/>
      <c r="R95" s="99"/>
    </row>
    <row r="96" spans="1:18" ht="15" customHeight="1" thickBot="1">
      <c r="A96" s="160">
        <f t="shared" si="1"/>
        <v>1</v>
      </c>
      <c r="B96" s="79"/>
      <c r="C96" s="20"/>
      <c r="D96" s="22"/>
      <c r="E96" s="106"/>
      <c r="F96" s="128"/>
      <c r="G96" s="128"/>
      <c r="H96" s="128"/>
      <c r="I96" s="128"/>
      <c r="J96" s="128"/>
      <c r="K96" s="128"/>
      <c r="L96" s="128"/>
      <c r="M96" s="128"/>
      <c r="N96" s="128"/>
      <c r="O96" s="128"/>
      <c r="P96" s="27"/>
      <c r="Q96" s="20"/>
      <c r="R96" s="99"/>
    </row>
    <row r="97" spans="1:19" s="237" customFormat="1" ht="20.25" customHeight="1" thickBot="1" thickTop="1">
      <c r="A97" s="160">
        <f t="shared" si="1"/>
        <v>540</v>
      </c>
      <c r="B97" s="236"/>
      <c r="C97" s="220"/>
      <c r="D97" s="132" t="s">
        <v>1017</v>
      </c>
      <c r="E97" s="130"/>
      <c r="F97" s="130"/>
      <c r="G97" s="130"/>
      <c r="H97" s="130"/>
      <c r="I97" s="130"/>
      <c r="J97" s="130"/>
      <c r="K97" s="130"/>
      <c r="L97" s="130"/>
      <c r="M97" s="130"/>
      <c r="N97" s="130"/>
      <c r="O97" s="130"/>
      <c r="P97" s="130"/>
      <c r="Q97" s="130"/>
      <c r="R97" s="130"/>
      <c r="S97" s="130"/>
    </row>
    <row r="98" spans="1:20" ht="15" customHeight="1" thickBot="1">
      <c r="A98" s="160">
        <f t="shared" si="1"/>
        <v>539</v>
      </c>
      <c r="B98" s="79"/>
      <c r="C98" s="228"/>
      <c r="F98" s="15" t="s">
        <v>1018</v>
      </c>
      <c r="T98" s="228"/>
    </row>
    <row r="99" spans="1:20" ht="15" customHeight="1" thickBot="1">
      <c r="A99" s="160">
        <f t="shared" si="1"/>
        <v>538</v>
      </c>
      <c r="B99" s="79"/>
      <c r="C99" s="718"/>
      <c r="F99" s="15" t="s">
        <v>643</v>
      </c>
      <c r="T99" s="718"/>
    </row>
    <row r="100" spans="1:20" ht="15" customHeight="1" thickBot="1">
      <c r="A100" s="160">
        <f t="shared" si="1"/>
        <v>537</v>
      </c>
      <c r="B100" s="79"/>
      <c r="C100" s="718"/>
      <c r="F100" s="15" t="s">
        <v>644</v>
      </c>
      <c r="T100" s="718"/>
    </row>
    <row r="101" spans="1:20" s="226" customFormat="1" ht="15" customHeight="1" thickBot="1" thickTop="1">
      <c r="A101" s="160">
        <f t="shared" si="1"/>
        <v>536</v>
      </c>
      <c r="B101" s="227"/>
      <c r="C101" s="15"/>
      <c r="D101" s="15"/>
      <c r="E101" s="99"/>
      <c r="F101" s="15" t="s">
        <v>646</v>
      </c>
      <c r="G101" s="15"/>
      <c r="H101" s="15"/>
      <c r="I101" s="15"/>
      <c r="J101" s="15"/>
      <c r="K101" s="15"/>
      <c r="L101" s="15"/>
      <c r="M101" s="15"/>
      <c r="N101" s="15"/>
      <c r="O101" s="15"/>
      <c r="P101" s="15"/>
      <c r="Q101" s="15"/>
      <c r="R101" s="15"/>
      <c r="S101" s="15"/>
      <c r="T101" s="15"/>
    </row>
    <row r="102" spans="1:6" ht="15" customHeight="1" thickBot="1">
      <c r="A102" s="160">
        <f t="shared" si="1"/>
        <v>535</v>
      </c>
      <c r="B102" s="79"/>
      <c r="F102" s="15" t="s">
        <v>645</v>
      </c>
    </row>
    <row r="103" spans="1:6" ht="15" customHeight="1" thickBot="1">
      <c r="A103" s="160">
        <f t="shared" si="1"/>
        <v>534</v>
      </c>
      <c r="B103" s="79"/>
      <c r="F103" s="15" t="s">
        <v>1005</v>
      </c>
    </row>
    <row r="104" spans="1:5" s="35" customFormat="1" ht="15" customHeight="1" thickBot="1">
      <c r="A104" s="160">
        <f t="shared" si="1"/>
        <v>533</v>
      </c>
      <c r="E104" s="96"/>
    </row>
    <row r="105" spans="1:5" s="35" customFormat="1" ht="15" customHeight="1" thickBot="1">
      <c r="A105" s="160">
        <f t="shared" si="1"/>
        <v>532</v>
      </c>
      <c r="E105" s="96"/>
    </row>
    <row r="106" spans="1:5" s="35" customFormat="1" ht="15" customHeight="1" thickBot="1">
      <c r="A106" s="160">
        <f t="shared" si="1"/>
        <v>531</v>
      </c>
      <c r="E106" s="96"/>
    </row>
    <row r="107" spans="1:5" s="35" customFormat="1" ht="15" customHeight="1" thickBot="1">
      <c r="A107" s="160">
        <f t="shared" si="1"/>
        <v>530</v>
      </c>
      <c r="E107" s="96"/>
    </row>
    <row r="108" spans="1:26" ht="15" customHeight="1" thickBot="1">
      <c r="A108" s="160">
        <f t="shared" si="1"/>
        <v>529</v>
      </c>
      <c r="C108" s="35"/>
      <c r="D108" s="35"/>
      <c r="E108" s="96"/>
      <c r="F108" s="35"/>
      <c r="G108" s="35"/>
      <c r="H108" s="35"/>
      <c r="I108" s="35"/>
      <c r="J108" s="35"/>
      <c r="K108" s="35"/>
      <c r="L108" s="35"/>
      <c r="M108" s="35"/>
      <c r="N108" s="35"/>
      <c r="O108" s="35"/>
      <c r="P108" s="35"/>
      <c r="Q108" s="35"/>
      <c r="R108" s="35"/>
      <c r="S108" s="35"/>
      <c r="T108" s="35"/>
      <c r="U108" s="35"/>
      <c r="V108" s="35"/>
      <c r="W108" s="35"/>
      <c r="X108" s="35"/>
      <c r="Y108" s="35"/>
      <c r="Z108" s="35"/>
    </row>
    <row r="109" spans="1:26" ht="15" customHeight="1" thickBot="1">
      <c r="A109" s="160">
        <f t="shared" si="1"/>
        <v>528</v>
      </c>
      <c r="C109" s="35"/>
      <c r="D109" s="35"/>
      <c r="E109" s="96"/>
      <c r="F109" s="35"/>
      <c r="G109" s="35"/>
      <c r="H109" s="35"/>
      <c r="I109" s="35"/>
      <c r="J109" s="35"/>
      <c r="K109" s="35"/>
      <c r="L109" s="35"/>
      <c r="M109" s="35"/>
      <c r="N109" s="35"/>
      <c r="O109" s="35"/>
      <c r="P109" s="35"/>
      <c r="Q109" s="35"/>
      <c r="R109" s="35"/>
      <c r="S109" s="35"/>
      <c r="T109" s="35"/>
      <c r="U109" s="35"/>
      <c r="V109" s="35"/>
      <c r="W109" s="35"/>
      <c r="X109" s="35"/>
      <c r="Y109" s="35"/>
      <c r="Z109" s="35"/>
    </row>
    <row r="110" spans="1:26" ht="15" customHeight="1" thickBot="1">
      <c r="A110" s="160">
        <f t="shared" si="1"/>
        <v>527</v>
      </c>
      <c r="C110" s="35"/>
      <c r="D110" s="35"/>
      <c r="E110" s="96"/>
      <c r="F110" s="35"/>
      <c r="G110" s="35"/>
      <c r="H110" s="35"/>
      <c r="I110" s="35"/>
      <c r="J110" s="35"/>
      <c r="K110" s="35"/>
      <c r="L110" s="35"/>
      <c r="M110" s="35"/>
      <c r="N110" s="35"/>
      <c r="O110" s="35"/>
      <c r="P110" s="35"/>
      <c r="Q110" s="35"/>
      <c r="R110" s="35"/>
      <c r="S110" s="35"/>
      <c r="T110" s="35"/>
      <c r="U110" s="35"/>
      <c r="V110" s="35"/>
      <c r="W110" s="35"/>
      <c r="X110" s="35"/>
      <c r="Y110" s="35"/>
      <c r="Z110" s="35"/>
    </row>
    <row r="111" spans="1:26" ht="15" customHeight="1" thickBot="1">
      <c r="A111" s="160">
        <f t="shared" si="1"/>
        <v>526</v>
      </c>
      <c r="C111" s="35"/>
      <c r="D111" s="35"/>
      <c r="E111" s="96"/>
      <c r="F111" s="35"/>
      <c r="G111" s="35"/>
      <c r="H111" s="35"/>
      <c r="I111" s="35"/>
      <c r="J111" s="35"/>
      <c r="K111" s="35"/>
      <c r="L111" s="35"/>
      <c r="M111" s="35"/>
      <c r="N111" s="35"/>
      <c r="O111" s="35"/>
      <c r="P111" s="35"/>
      <c r="Q111" s="35"/>
      <c r="R111" s="35"/>
      <c r="S111" s="35"/>
      <c r="T111" s="35"/>
      <c r="U111" s="35"/>
      <c r="V111" s="35"/>
      <c r="W111" s="35"/>
      <c r="X111" s="35"/>
      <c r="Y111" s="35"/>
      <c r="Z111" s="35"/>
    </row>
    <row r="112" spans="1:26" ht="15" customHeight="1" thickBot="1">
      <c r="A112" s="160">
        <f t="shared" si="1"/>
        <v>525</v>
      </c>
      <c r="C112" s="35"/>
      <c r="D112" s="35"/>
      <c r="E112" s="96"/>
      <c r="F112" s="35"/>
      <c r="G112" s="35"/>
      <c r="H112" s="35"/>
      <c r="I112" s="35"/>
      <c r="J112" s="35"/>
      <c r="K112" s="35"/>
      <c r="L112" s="35"/>
      <c r="M112" s="35"/>
      <c r="N112" s="35"/>
      <c r="O112" s="35"/>
      <c r="P112" s="35"/>
      <c r="Q112" s="35"/>
      <c r="R112" s="35"/>
      <c r="S112" s="35"/>
      <c r="T112" s="35"/>
      <c r="U112" s="35"/>
      <c r="V112" s="35"/>
      <c r="W112" s="35"/>
      <c r="X112" s="35"/>
      <c r="Y112" s="35"/>
      <c r="Z112" s="35"/>
    </row>
    <row r="113" spans="1:26" ht="15" customHeight="1" thickBot="1">
      <c r="A113" s="160">
        <f t="shared" si="1"/>
        <v>524</v>
      </c>
      <c r="C113" s="35"/>
      <c r="D113" s="35"/>
      <c r="E113" s="96"/>
      <c r="F113" s="35"/>
      <c r="G113" s="35"/>
      <c r="H113" s="35"/>
      <c r="I113" s="35"/>
      <c r="J113" s="35"/>
      <c r="K113" s="35"/>
      <c r="L113" s="35"/>
      <c r="M113" s="35"/>
      <c r="N113" s="35"/>
      <c r="O113" s="35"/>
      <c r="P113" s="35"/>
      <c r="Q113" s="35"/>
      <c r="R113" s="35"/>
      <c r="S113" s="35"/>
      <c r="T113" s="35"/>
      <c r="U113" s="35"/>
      <c r="V113" s="35"/>
      <c r="W113" s="35"/>
      <c r="X113" s="35"/>
      <c r="Y113" s="35"/>
      <c r="Z113" s="35"/>
    </row>
    <row r="114" spans="1:26" ht="15" customHeight="1" thickBot="1">
      <c r="A114" s="160">
        <f t="shared" si="1"/>
        <v>523</v>
      </c>
      <c r="C114" s="35"/>
      <c r="D114" s="35"/>
      <c r="E114" s="96"/>
      <c r="F114" s="35"/>
      <c r="G114" s="35"/>
      <c r="H114" s="35"/>
      <c r="I114" s="35"/>
      <c r="J114" s="35"/>
      <c r="K114" s="35"/>
      <c r="L114" s="35"/>
      <c r="M114" s="35"/>
      <c r="N114" s="35"/>
      <c r="O114" s="35"/>
      <c r="P114" s="35"/>
      <c r="Q114" s="35"/>
      <c r="R114" s="35"/>
      <c r="S114" s="35"/>
      <c r="T114" s="35"/>
      <c r="U114" s="35"/>
      <c r="V114" s="35"/>
      <c r="W114" s="35"/>
      <c r="X114" s="35"/>
      <c r="Y114" s="35"/>
      <c r="Z114" s="35"/>
    </row>
    <row r="115" spans="1:26" ht="15" customHeight="1" thickBot="1">
      <c r="A115" s="160">
        <f t="shared" si="1"/>
        <v>522</v>
      </c>
      <c r="C115" s="35"/>
      <c r="D115" s="35"/>
      <c r="E115" s="96"/>
      <c r="F115" s="35"/>
      <c r="G115" s="35"/>
      <c r="H115" s="35"/>
      <c r="I115" s="35"/>
      <c r="J115" s="35"/>
      <c r="K115" s="35"/>
      <c r="L115" s="35"/>
      <c r="M115" s="35"/>
      <c r="N115" s="35"/>
      <c r="O115" s="35"/>
      <c r="P115" s="35"/>
      <c r="Q115" s="35"/>
      <c r="R115" s="35"/>
      <c r="S115" s="35"/>
      <c r="T115" s="35"/>
      <c r="U115" s="35"/>
      <c r="V115" s="35"/>
      <c r="W115" s="35"/>
      <c r="X115" s="35"/>
      <c r="Y115" s="35"/>
      <c r="Z115" s="35"/>
    </row>
    <row r="116" spans="1:26" ht="15" customHeight="1" thickBot="1">
      <c r="A116" s="160">
        <f t="shared" si="1"/>
        <v>521</v>
      </c>
      <c r="C116" s="35"/>
      <c r="D116" s="35"/>
      <c r="E116" s="96"/>
      <c r="F116" s="35"/>
      <c r="G116" s="35"/>
      <c r="H116" s="35"/>
      <c r="I116" s="35"/>
      <c r="J116" s="35"/>
      <c r="K116" s="35"/>
      <c r="L116" s="35"/>
      <c r="M116" s="35"/>
      <c r="N116" s="35"/>
      <c r="O116" s="35"/>
      <c r="P116" s="35"/>
      <c r="Q116" s="35"/>
      <c r="R116" s="35"/>
      <c r="S116" s="35"/>
      <c r="T116" s="35"/>
      <c r="U116" s="35"/>
      <c r="V116" s="35"/>
      <c r="W116" s="35"/>
      <c r="X116" s="35"/>
      <c r="Y116" s="35"/>
      <c r="Z116" s="35"/>
    </row>
    <row r="117" spans="1:26" ht="15" customHeight="1" thickBot="1">
      <c r="A117" s="160">
        <f t="shared" si="1"/>
        <v>520</v>
      </c>
      <c r="C117" s="35"/>
      <c r="D117" s="35"/>
      <c r="E117" s="96"/>
      <c r="F117" s="35"/>
      <c r="G117" s="35"/>
      <c r="H117" s="35"/>
      <c r="I117" s="35"/>
      <c r="J117" s="35"/>
      <c r="K117" s="35"/>
      <c r="L117" s="35"/>
      <c r="M117" s="35"/>
      <c r="N117" s="35"/>
      <c r="O117" s="35"/>
      <c r="P117" s="35"/>
      <c r="Q117" s="35"/>
      <c r="R117" s="35"/>
      <c r="S117" s="35"/>
      <c r="T117" s="35"/>
      <c r="U117" s="35"/>
      <c r="V117" s="35"/>
      <c r="W117" s="35"/>
      <c r="X117" s="35"/>
      <c r="Y117" s="35"/>
      <c r="Z117" s="35"/>
    </row>
    <row r="118" spans="1:26" ht="15" customHeight="1" thickBot="1">
      <c r="A118" s="160">
        <f t="shared" si="1"/>
        <v>519</v>
      </c>
      <c r="C118" s="35"/>
      <c r="D118" s="35"/>
      <c r="E118" s="96"/>
      <c r="F118" s="35"/>
      <c r="G118" s="35"/>
      <c r="H118" s="35"/>
      <c r="I118" s="35"/>
      <c r="J118" s="35"/>
      <c r="K118" s="35"/>
      <c r="L118" s="35"/>
      <c r="M118" s="35"/>
      <c r="N118" s="35"/>
      <c r="O118" s="35"/>
      <c r="P118" s="35"/>
      <c r="Q118" s="35"/>
      <c r="R118" s="35"/>
      <c r="S118" s="35"/>
      <c r="T118" s="35"/>
      <c r="U118" s="35"/>
      <c r="V118" s="35"/>
      <c r="W118" s="35"/>
      <c r="X118" s="35"/>
      <c r="Y118" s="35"/>
      <c r="Z118" s="35"/>
    </row>
    <row r="119" spans="1:26" ht="15" customHeight="1" thickBot="1">
      <c r="A119" s="160">
        <f t="shared" si="1"/>
        <v>518</v>
      </c>
      <c r="C119" s="35"/>
      <c r="D119" s="35"/>
      <c r="E119" s="96"/>
      <c r="F119" s="35"/>
      <c r="G119" s="35"/>
      <c r="H119" s="35"/>
      <c r="I119" s="35"/>
      <c r="J119" s="35"/>
      <c r="K119" s="35"/>
      <c r="L119" s="35"/>
      <c r="M119" s="35"/>
      <c r="N119" s="35"/>
      <c r="O119" s="35"/>
      <c r="P119" s="35"/>
      <c r="Q119" s="35"/>
      <c r="R119" s="35"/>
      <c r="S119" s="35"/>
      <c r="T119" s="35"/>
      <c r="U119" s="35"/>
      <c r="V119" s="35"/>
      <c r="W119" s="35"/>
      <c r="X119" s="35"/>
      <c r="Y119" s="35"/>
      <c r="Z119" s="35"/>
    </row>
    <row r="120" spans="1:26" ht="15" customHeight="1" thickBot="1">
      <c r="A120" s="160">
        <f t="shared" si="1"/>
        <v>517</v>
      </c>
      <c r="C120" s="35"/>
      <c r="D120" s="35"/>
      <c r="E120" s="96"/>
      <c r="F120" s="35"/>
      <c r="G120" s="35"/>
      <c r="H120" s="35"/>
      <c r="I120" s="35"/>
      <c r="J120" s="35"/>
      <c r="K120" s="35"/>
      <c r="L120" s="35"/>
      <c r="M120" s="35"/>
      <c r="N120" s="35"/>
      <c r="O120" s="35"/>
      <c r="P120" s="35"/>
      <c r="Q120" s="35"/>
      <c r="R120" s="35"/>
      <c r="S120" s="35"/>
      <c r="T120" s="35"/>
      <c r="U120" s="35"/>
      <c r="V120" s="35"/>
      <c r="W120" s="35"/>
      <c r="X120" s="35"/>
      <c r="Y120" s="35"/>
      <c r="Z120" s="35"/>
    </row>
    <row r="121" spans="1:26" ht="15" customHeight="1" thickBot="1">
      <c r="A121" s="160">
        <f t="shared" si="1"/>
        <v>516</v>
      </c>
      <c r="C121" s="35"/>
      <c r="D121" s="35"/>
      <c r="E121" s="96"/>
      <c r="F121" s="35"/>
      <c r="G121" s="35"/>
      <c r="H121" s="35"/>
      <c r="I121" s="35"/>
      <c r="J121" s="35"/>
      <c r="K121" s="35"/>
      <c r="L121" s="35"/>
      <c r="M121" s="35"/>
      <c r="N121" s="35"/>
      <c r="O121" s="35"/>
      <c r="P121" s="35"/>
      <c r="Q121" s="35"/>
      <c r="R121" s="35"/>
      <c r="S121" s="35"/>
      <c r="T121" s="35"/>
      <c r="U121" s="35"/>
      <c r="V121" s="35"/>
      <c r="W121" s="35"/>
      <c r="X121" s="35"/>
      <c r="Y121" s="35"/>
      <c r="Z121" s="35"/>
    </row>
    <row r="122" spans="1:26" ht="15" customHeight="1" thickBot="1">
      <c r="A122" s="160">
        <f t="shared" si="1"/>
        <v>515</v>
      </c>
      <c r="C122" s="35"/>
      <c r="D122" s="35"/>
      <c r="E122" s="96"/>
      <c r="F122" s="35"/>
      <c r="G122" s="35"/>
      <c r="H122" s="35"/>
      <c r="I122" s="35"/>
      <c r="J122" s="35"/>
      <c r="K122" s="35"/>
      <c r="L122" s="35"/>
      <c r="M122" s="35"/>
      <c r="N122" s="35"/>
      <c r="O122" s="35"/>
      <c r="P122" s="35"/>
      <c r="Q122" s="35"/>
      <c r="R122" s="35"/>
      <c r="S122" s="35"/>
      <c r="T122" s="35"/>
      <c r="U122" s="35"/>
      <c r="V122" s="35"/>
      <c r="W122" s="35"/>
      <c r="X122" s="35"/>
      <c r="Y122" s="35"/>
      <c r="Z122" s="35"/>
    </row>
    <row r="123" spans="1:29" ht="15" customHeight="1" thickBot="1">
      <c r="A123" s="160">
        <f t="shared" si="1"/>
        <v>514</v>
      </c>
      <c r="C123" s="35"/>
      <c r="D123" s="35"/>
      <c r="E123" s="96"/>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ht="15" customHeight="1" thickBot="1">
      <c r="A124" s="160">
        <f t="shared" si="1"/>
        <v>513</v>
      </c>
      <c r="C124" s="35"/>
      <c r="D124" s="35"/>
      <c r="E124" s="96"/>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row>
    <row r="125" spans="1:29" ht="15" customHeight="1" thickBot="1">
      <c r="A125" s="160">
        <f t="shared" si="1"/>
        <v>512</v>
      </c>
      <c r="C125" s="35"/>
      <c r="D125" s="35"/>
      <c r="E125" s="96"/>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row>
    <row r="126" spans="1:29" ht="15" customHeight="1" thickBot="1">
      <c r="A126" s="160">
        <f t="shared" si="1"/>
        <v>511</v>
      </c>
      <c r="C126" s="35"/>
      <c r="D126" s="35"/>
      <c r="E126" s="96"/>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row>
    <row r="127" spans="1:29" ht="15" customHeight="1" thickBot="1">
      <c r="A127" s="160">
        <f t="shared" si="1"/>
        <v>510</v>
      </c>
      <c r="C127" s="35"/>
      <c r="D127" s="35"/>
      <c r="E127" s="96"/>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row>
    <row r="128" spans="1:29" ht="15" customHeight="1" thickBot="1">
      <c r="A128" s="160">
        <f t="shared" si="1"/>
        <v>509</v>
      </c>
      <c r="C128" s="35"/>
      <c r="D128" s="35"/>
      <c r="E128" s="96"/>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row>
    <row r="129" spans="1:29" ht="15" customHeight="1" thickBot="1">
      <c r="A129" s="160">
        <f t="shared" si="1"/>
        <v>508</v>
      </c>
      <c r="C129" s="35"/>
      <c r="D129" s="35"/>
      <c r="E129" s="96"/>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row>
    <row r="130" spans="1:29" ht="15" customHeight="1" thickBot="1">
      <c r="A130" s="160">
        <f t="shared" si="1"/>
        <v>507</v>
      </c>
      <c r="C130" s="35"/>
      <c r="D130" s="35"/>
      <c r="E130" s="96"/>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row>
    <row r="131" spans="1:29" ht="15" customHeight="1" thickBot="1">
      <c r="A131" s="160">
        <f t="shared" si="1"/>
        <v>506</v>
      </c>
      <c r="C131" s="35"/>
      <c r="D131" s="35"/>
      <c r="E131" s="96"/>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row>
    <row r="132" spans="1:29" ht="15" customHeight="1" thickBot="1">
      <c r="A132" s="160">
        <f t="shared" si="1"/>
        <v>505</v>
      </c>
      <c r="C132" s="35"/>
      <c r="T132" s="35"/>
      <c r="U132" s="35"/>
      <c r="V132" s="35"/>
      <c r="W132" s="35"/>
      <c r="X132" s="35"/>
      <c r="Y132" s="35"/>
      <c r="Z132" s="35"/>
      <c r="AA132" s="35"/>
      <c r="AB132" s="35"/>
      <c r="AC132" s="35"/>
    </row>
    <row r="133" spans="1:29" ht="15" customHeight="1" thickBot="1">
      <c r="A133" s="160">
        <f t="shared" si="1"/>
        <v>504</v>
      </c>
      <c r="U133" s="35"/>
      <c r="V133" s="35"/>
      <c r="W133" s="35"/>
      <c r="X133" s="35"/>
      <c r="Y133" s="35"/>
      <c r="Z133" s="35"/>
      <c r="AA133" s="35"/>
      <c r="AB133" s="35"/>
      <c r="AC133" s="35"/>
    </row>
    <row r="134" ht="15" customHeight="1" thickBot="1">
      <c r="A134" s="160">
        <f t="shared" si="1"/>
        <v>503</v>
      </c>
    </row>
    <row r="135" ht="15" customHeight="1" thickBot="1">
      <c r="A135" s="160">
        <f aca="true" t="shared" si="2" ref="A135:A198">IF(ISTEXT(D136),1,1+A136)</f>
        <v>502</v>
      </c>
    </row>
    <row r="136" ht="15" customHeight="1" thickBot="1">
      <c r="A136" s="160">
        <f t="shared" si="2"/>
        <v>501</v>
      </c>
    </row>
    <row r="137" ht="15" customHeight="1" thickBot="1">
      <c r="A137" s="160">
        <f t="shared" si="2"/>
        <v>500</v>
      </c>
    </row>
    <row r="138" ht="15" customHeight="1" thickBot="1">
      <c r="A138" s="160">
        <f t="shared" si="2"/>
        <v>499</v>
      </c>
    </row>
    <row r="139" ht="15" customHeight="1" thickBot="1">
      <c r="A139" s="160">
        <f t="shared" si="2"/>
        <v>498</v>
      </c>
    </row>
    <row r="140" ht="15" customHeight="1" thickBot="1">
      <c r="A140" s="160">
        <f t="shared" si="2"/>
        <v>497</v>
      </c>
    </row>
    <row r="141" ht="15" customHeight="1" thickBot="1">
      <c r="A141" s="160">
        <f t="shared" si="2"/>
        <v>496</v>
      </c>
    </row>
    <row r="142" ht="15" customHeight="1" thickBot="1">
      <c r="A142" s="160">
        <f t="shared" si="2"/>
        <v>495</v>
      </c>
    </row>
    <row r="143" ht="15" customHeight="1" thickBot="1">
      <c r="A143" s="160">
        <f t="shared" si="2"/>
        <v>494</v>
      </c>
    </row>
    <row r="144" ht="15" customHeight="1" thickBot="1">
      <c r="A144" s="160">
        <f t="shared" si="2"/>
        <v>493</v>
      </c>
    </row>
    <row r="145" ht="15" customHeight="1" thickBot="1">
      <c r="A145" s="160">
        <f t="shared" si="2"/>
        <v>492</v>
      </c>
    </row>
    <row r="146" ht="15" customHeight="1" thickBot="1">
      <c r="A146" s="160">
        <f t="shared" si="2"/>
        <v>491</v>
      </c>
    </row>
    <row r="147" ht="15" customHeight="1" thickBot="1">
      <c r="A147" s="160">
        <f t="shared" si="2"/>
        <v>490</v>
      </c>
    </row>
    <row r="148" ht="15" customHeight="1" thickBot="1">
      <c r="A148" s="160">
        <f t="shared" si="2"/>
        <v>489</v>
      </c>
    </row>
    <row r="149" ht="15" customHeight="1" thickBot="1">
      <c r="A149" s="160">
        <f t="shared" si="2"/>
        <v>488</v>
      </c>
    </row>
    <row r="150" ht="15" customHeight="1" thickBot="1">
      <c r="A150" s="160">
        <f t="shared" si="2"/>
        <v>487</v>
      </c>
    </row>
    <row r="151" ht="15" customHeight="1" thickBot="1">
      <c r="A151" s="160">
        <f t="shared" si="2"/>
        <v>486</v>
      </c>
    </row>
    <row r="152" ht="15" customHeight="1" thickBot="1">
      <c r="A152" s="160">
        <f t="shared" si="2"/>
        <v>485</v>
      </c>
    </row>
    <row r="153" ht="15" customHeight="1" thickBot="1">
      <c r="A153" s="160">
        <f t="shared" si="2"/>
        <v>484</v>
      </c>
    </row>
    <row r="154" ht="15" customHeight="1" thickBot="1">
      <c r="A154" s="160">
        <f t="shared" si="2"/>
        <v>483</v>
      </c>
    </row>
    <row r="155" ht="15" customHeight="1" thickBot="1">
      <c r="A155" s="160">
        <f t="shared" si="2"/>
        <v>482</v>
      </c>
    </row>
    <row r="156" ht="15" customHeight="1" thickBot="1">
      <c r="A156" s="160">
        <f t="shared" si="2"/>
        <v>481</v>
      </c>
    </row>
    <row r="157" ht="15" customHeight="1" thickBot="1">
      <c r="A157" s="160">
        <f t="shared" si="2"/>
        <v>480</v>
      </c>
    </row>
    <row r="158" ht="15" customHeight="1" thickBot="1">
      <c r="A158" s="160">
        <f t="shared" si="2"/>
        <v>479</v>
      </c>
    </row>
    <row r="159" ht="15" customHeight="1" thickBot="1">
      <c r="A159" s="160">
        <f t="shared" si="2"/>
        <v>478</v>
      </c>
    </row>
    <row r="160" ht="15" customHeight="1" thickBot="1">
      <c r="A160" s="160">
        <f t="shared" si="2"/>
        <v>477</v>
      </c>
    </row>
    <row r="161" ht="15" customHeight="1" thickBot="1">
      <c r="A161" s="160">
        <f t="shared" si="2"/>
        <v>476</v>
      </c>
    </row>
    <row r="162" ht="15" customHeight="1" thickBot="1">
      <c r="A162" s="160">
        <f t="shared" si="2"/>
        <v>475</v>
      </c>
    </row>
    <row r="163" ht="15" customHeight="1" thickBot="1">
      <c r="A163" s="160">
        <f t="shared" si="2"/>
        <v>474</v>
      </c>
    </row>
    <row r="164" ht="15" customHeight="1" thickBot="1">
      <c r="A164" s="160">
        <f t="shared" si="2"/>
        <v>473</v>
      </c>
    </row>
    <row r="165" ht="15" customHeight="1" thickBot="1">
      <c r="A165" s="160">
        <f t="shared" si="2"/>
        <v>472</v>
      </c>
    </row>
    <row r="166" ht="15" customHeight="1" thickBot="1">
      <c r="A166" s="160">
        <f t="shared" si="2"/>
        <v>471</v>
      </c>
    </row>
    <row r="167" ht="15" customHeight="1" thickBot="1">
      <c r="A167" s="160">
        <f t="shared" si="2"/>
        <v>470</v>
      </c>
    </row>
    <row r="168" ht="15" customHeight="1" thickBot="1">
      <c r="A168" s="160">
        <f t="shared" si="2"/>
        <v>469</v>
      </c>
    </row>
    <row r="169" ht="15" customHeight="1" thickBot="1">
      <c r="A169" s="160">
        <f t="shared" si="2"/>
        <v>468</v>
      </c>
    </row>
    <row r="170" ht="15" customHeight="1" thickBot="1">
      <c r="A170" s="160">
        <f t="shared" si="2"/>
        <v>467</v>
      </c>
    </row>
    <row r="171" ht="15" customHeight="1" thickBot="1">
      <c r="A171" s="160">
        <f t="shared" si="2"/>
        <v>466</v>
      </c>
    </row>
    <row r="172" ht="15" customHeight="1" thickBot="1">
      <c r="A172" s="160">
        <f t="shared" si="2"/>
        <v>465</v>
      </c>
    </row>
    <row r="173" ht="15" customHeight="1" thickBot="1">
      <c r="A173" s="160">
        <f t="shared" si="2"/>
        <v>464</v>
      </c>
    </row>
    <row r="174" ht="15" customHeight="1" thickBot="1">
      <c r="A174" s="160">
        <f t="shared" si="2"/>
        <v>463</v>
      </c>
    </row>
    <row r="175" ht="15" customHeight="1" thickBot="1">
      <c r="A175" s="160">
        <f t="shared" si="2"/>
        <v>462</v>
      </c>
    </row>
    <row r="176" ht="15" customHeight="1" thickBot="1">
      <c r="A176" s="160">
        <f t="shared" si="2"/>
        <v>461</v>
      </c>
    </row>
    <row r="177" ht="15" customHeight="1" thickBot="1">
      <c r="A177" s="160">
        <f t="shared" si="2"/>
        <v>460</v>
      </c>
    </row>
    <row r="178" ht="15" customHeight="1" thickBot="1">
      <c r="A178" s="160">
        <f t="shared" si="2"/>
        <v>459</v>
      </c>
    </row>
    <row r="179" ht="15" customHeight="1" thickBot="1">
      <c r="A179" s="160">
        <f t="shared" si="2"/>
        <v>458</v>
      </c>
    </row>
    <row r="180" ht="15" customHeight="1" thickBot="1">
      <c r="A180" s="160">
        <f t="shared" si="2"/>
        <v>457</v>
      </c>
    </row>
    <row r="181" ht="15" customHeight="1" thickBot="1">
      <c r="A181" s="160">
        <f t="shared" si="2"/>
        <v>456</v>
      </c>
    </row>
    <row r="182" ht="15" customHeight="1" thickBot="1">
      <c r="A182" s="160">
        <f t="shared" si="2"/>
        <v>455</v>
      </c>
    </row>
    <row r="183" ht="15" customHeight="1" thickBot="1">
      <c r="A183" s="160">
        <f t="shared" si="2"/>
        <v>454</v>
      </c>
    </row>
    <row r="184" ht="15" customHeight="1" thickBot="1">
      <c r="A184" s="160">
        <f t="shared" si="2"/>
        <v>453</v>
      </c>
    </row>
    <row r="185" ht="15" customHeight="1" thickBot="1">
      <c r="A185" s="160">
        <f t="shared" si="2"/>
        <v>452</v>
      </c>
    </row>
    <row r="186" ht="15" customHeight="1" thickBot="1">
      <c r="A186" s="160">
        <f t="shared" si="2"/>
        <v>451</v>
      </c>
    </row>
    <row r="187" ht="15" customHeight="1" thickBot="1">
      <c r="A187" s="160">
        <f t="shared" si="2"/>
        <v>450</v>
      </c>
    </row>
    <row r="188" ht="15" customHeight="1" thickBot="1">
      <c r="A188" s="160">
        <f t="shared" si="2"/>
        <v>449</v>
      </c>
    </row>
    <row r="189" ht="15" customHeight="1" thickBot="1">
      <c r="A189" s="160">
        <f t="shared" si="2"/>
        <v>448</v>
      </c>
    </row>
    <row r="190" ht="15" customHeight="1" thickBot="1">
      <c r="A190" s="160">
        <f t="shared" si="2"/>
        <v>447</v>
      </c>
    </row>
    <row r="191" ht="15" customHeight="1" thickBot="1">
      <c r="A191" s="160">
        <f t="shared" si="2"/>
        <v>446</v>
      </c>
    </row>
    <row r="192" ht="15" customHeight="1" thickBot="1">
      <c r="A192" s="160">
        <f t="shared" si="2"/>
        <v>445</v>
      </c>
    </row>
    <row r="193" ht="15" customHeight="1" thickBot="1">
      <c r="A193" s="160">
        <f t="shared" si="2"/>
        <v>444</v>
      </c>
    </row>
    <row r="194" ht="15" customHeight="1" thickBot="1">
      <c r="A194" s="160">
        <f t="shared" si="2"/>
        <v>443</v>
      </c>
    </row>
    <row r="195" ht="15" customHeight="1" thickBot="1">
      <c r="A195" s="160">
        <f t="shared" si="2"/>
        <v>442</v>
      </c>
    </row>
    <row r="196" ht="15" customHeight="1" thickBot="1">
      <c r="A196" s="160">
        <f t="shared" si="2"/>
        <v>441</v>
      </c>
    </row>
    <row r="197" ht="15" customHeight="1" thickBot="1">
      <c r="A197" s="160">
        <f t="shared" si="2"/>
        <v>440</v>
      </c>
    </row>
    <row r="198" ht="15" customHeight="1" thickBot="1">
      <c r="A198" s="160">
        <f t="shared" si="2"/>
        <v>439</v>
      </c>
    </row>
    <row r="199" ht="15" customHeight="1" thickBot="1">
      <c r="A199" s="160">
        <f aca="true" t="shared" si="3" ref="A199:A262">IF(ISTEXT(D200),1,1+A200)</f>
        <v>438</v>
      </c>
    </row>
    <row r="200" ht="15" customHeight="1" thickBot="1">
      <c r="A200" s="160">
        <f t="shared" si="3"/>
        <v>437</v>
      </c>
    </row>
    <row r="201" ht="15" customHeight="1" thickBot="1">
      <c r="A201" s="160">
        <f t="shared" si="3"/>
        <v>436</v>
      </c>
    </row>
    <row r="202" ht="15" customHeight="1" thickBot="1">
      <c r="A202" s="160">
        <f t="shared" si="3"/>
        <v>435</v>
      </c>
    </row>
    <row r="203" ht="15" customHeight="1" thickBot="1">
      <c r="A203" s="160">
        <f t="shared" si="3"/>
        <v>434</v>
      </c>
    </row>
    <row r="204" ht="15" customHeight="1" thickBot="1">
      <c r="A204" s="160">
        <f t="shared" si="3"/>
        <v>433</v>
      </c>
    </row>
    <row r="205" ht="15" customHeight="1" thickBot="1">
      <c r="A205" s="160">
        <f t="shared" si="3"/>
        <v>432</v>
      </c>
    </row>
    <row r="206" ht="15" customHeight="1" thickBot="1">
      <c r="A206" s="160">
        <f t="shared" si="3"/>
        <v>431</v>
      </c>
    </row>
    <row r="207" ht="15" customHeight="1" thickBot="1">
      <c r="A207" s="160">
        <f t="shared" si="3"/>
        <v>430</v>
      </c>
    </row>
    <row r="208" ht="15" customHeight="1" thickBot="1">
      <c r="A208" s="160">
        <f t="shared" si="3"/>
        <v>429</v>
      </c>
    </row>
    <row r="209" ht="15" customHeight="1" thickBot="1">
      <c r="A209" s="160">
        <f t="shared" si="3"/>
        <v>428</v>
      </c>
    </row>
    <row r="210" ht="15" customHeight="1" thickBot="1">
      <c r="A210" s="160">
        <f t="shared" si="3"/>
        <v>427</v>
      </c>
    </row>
    <row r="211" ht="15" customHeight="1" thickBot="1">
      <c r="A211" s="160">
        <f t="shared" si="3"/>
        <v>426</v>
      </c>
    </row>
    <row r="212" ht="15" customHeight="1" thickBot="1">
      <c r="A212" s="160">
        <f t="shared" si="3"/>
        <v>425</v>
      </c>
    </row>
    <row r="213" ht="15" customHeight="1" thickBot="1">
      <c r="A213" s="160">
        <f t="shared" si="3"/>
        <v>424</v>
      </c>
    </row>
    <row r="214" ht="15" customHeight="1" thickBot="1">
      <c r="A214" s="160">
        <f t="shared" si="3"/>
        <v>423</v>
      </c>
    </row>
    <row r="215" ht="15" customHeight="1" thickBot="1">
      <c r="A215" s="160">
        <f t="shared" si="3"/>
        <v>422</v>
      </c>
    </row>
    <row r="216" ht="15" customHeight="1" thickBot="1">
      <c r="A216" s="160">
        <f t="shared" si="3"/>
        <v>421</v>
      </c>
    </row>
    <row r="217" ht="15" customHeight="1" thickBot="1">
      <c r="A217" s="160">
        <f t="shared" si="3"/>
        <v>420</v>
      </c>
    </row>
    <row r="218" ht="15" customHeight="1" thickBot="1">
      <c r="A218" s="160">
        <f t="shared" si="3"/>
        <v>419</v>
      </c>
    </row>
    <row r="219" ht="15" customHeight="1" thickBot="1">
      <c r="A219" s="160">
        <f t="shared" si="3"/>
        <v>418</v>
      </c>
    </row>
    <row r="220" ht="15" customHeight="1" thickBot="1">
      <c r="A220" s="160">
        <f t="shared" si="3"/>
        <v>417</v>
      </c>
    </row>
    <row r="221" ht="15" customHeight="1" thickBot="1">
      <c r="A221" s="160">
        <f t="shared" si="3"/>
        <v>416</v>
      </c>
    </row>
    <row r="222" ht="15" customHeight="1" thickBot="1">
      <c r="A222" s="160">
        <f t="shared" si="3"/>
        <v>415</v>
      </c>
    </row>
    <row r="223" ht="15" customHeight="1" thickBot="1">
      <c r="A223" s="160">
        <f t="shared" si="3"/>
        <v>414</v>
      </c>
    </row>
    <row r="224" ht="15" customHeight="1" thickBot="1">
      <c r="A224" s="160">
        <f t="shared" si="3"/>
        <v>413</v>
      </c>
    </row>
    <row r="225" ht="15" customHeight="1" thickBot="1">
      <c r="A225" s="160">
        <f t="shared" si="3"/>
        <v>412</v>
      </c>
    </row>
    <row r="226" ht="15" customHeight="1" thickBot="1">
      <c r="A226" s="160">
        <f t="shared" si="3"/>
        <v>411</v>
      </c>
    </row>
    <row r="227" ht="15" customHeight="1" thickBot="1">
      <c r="A227" s="160">
        <f t="shared" si="3"/>
        <v>410</v>
      </c>
    </row>
    <row r="228" ht="15" customHeight="1" thickBot="1">
      <c r="A228" s="160">
        <f t="shared" si="3"/>
        <v>409</v>
      </c>
    </row>
    <row r="229" ht="15" customHeight="1" thickBot="1">
      <c r="A229" s="160">
        <f t="shared" si="3"/>
        <v>408</v>
      </c>
    </row>
    <row r="230" ht="15" customHeight="1" thickBot="1">
      <c r="A230" s="160">
        <f t="shared" si="3"/>
        <v>407</v>
      </c>
    </row>
    <row r="231" ht="15" customHeight="1" thickBot="1">
      <c r="A231" s="160">
        <f t="shared" si="3"/>
        <v>406</v>
      </c>
    </row>
    <row r="232" ht="15" customHeight="1" thickBot="1">
      <c r="A232" s="160">
        <f t="shared" si="3"/>
        <v>405</v>
      </c>
    </row>
    <row r="233" ht="15" customHeight="1" thickBot="1">
      <c r="A233" s="160">
        <f t="shared" si="3"/>
        <v>404</v>
      </c>
    </row>
    <row r="234" ht="15" customHeight="1" thickBot="1">
      <c r="A234" s="160">
        <f t="shared" si="3"/>
        <v>403</v>
      </c>
    </row>
    <row r="235" ht="15" customHeight="1" thickBot="1">
      <c r="A235" s="160">
        <f t="shared" si="3"/>
        <v>402</v>
      </c>
    </row>
    <row r="236" ht="15" customHeight="1" thickBot="1">
      <c r="A236" s="160">
        <f t="shared" si="3"/>
        <v>401</v>
      </c>
    </row>
    <row r="237" ht="15" customHeight="1" thickBot="1">
      <c r="A237" s="160">
        <f t="shared" si="3"/>
        <v>400</v>
      </c>
    </row>
    <row r="238" ht="15" customHeight="1" thickBot="1">
      <c r="A238" s="160">
        <f t="shared" si="3"/>
        <v>399</v>
      </c>
    </row>
    <row r="239" ht="15" customHeight="1" thickBot="1">
      <c r="A239" s="160">
        <f t="shared" si="3"/>
        <v>398</v>
      </c>
    </row>
    <row r="240" ht="15" customHeight="1" thickBot="1">
      <c r="A240" s="160">
        <f t="shared" si="3"/>
        <v>397</v>
      </c>
    </row>
    <row r="241" ht="15" customHeight="1" thickBot="1">
      <c r="A241" s="160">
        <f t="shared" si="3"/>
        <v>396</v>
      </c>
    </row>
    <row r="242" ht="15" customHeight="1" thickBot="1">
      <c r="A242" s="160">
        <f t="shared" si="3"/>
        <v>395</v>
      </c>
    </row>
    <row r="243" ht="15" customHeight="1" thickBot="1">
      <c r="A243" s="160">
        <f t="shared" si="3"/>
        <v>394</v>
      </c>
    </row>
    <row r="244" ht="15" customHeight="1" thickBot="1">
      <c r="A244" s="160">
        <f t="shared" si="3"/>
        <v>393</v>
      </c>
    </row>
    <row r="245" ht="15" customHeight="1" thickBot="1">
      <c r="A245" s="160">
        <f t="shared" si="3"/>
        <v>392</v>
      </c>
    </row>
    <row r="246" ht="15" customHeight="1" thickBot="1">
      <c r="A246" s="160">
        <f t="shared" si="3"/>
        <v>391</v>
      </c>
    </row>
    <row r="247" ht="15" customHeight="1" thickBot="1">
      <c r="A247" s="160">
        <f t="shared" si="3"/>
        <v>390</v>
      </c>
    </row>
    <row r="248" ht="15" customHeight="1" thickBot="1">
      <c r="A248" s="160">
        <f t="shared" si="3"/>
        <v>389</v>
      </c>
    </row>
    <row r="249" ht="15" customHeight="1" thickBot="1">
      <c r="A249" s="160">
        <f t="shared" si="3"/>
        <v>388</v>
      </c>
    </row>
    <row r="250" ht="15" customHeight="1" thickBot="1">
      <c r="A250" s="160">
        <f t="shared" si="3"/>
        <v>387</v>
      </c>
    </row>
    <row r="251" ht="15" customHeight="1" thickBot="1">
      <c r="A251" s="160">
        <f t="shared" si="3"/>
        <v>386</v>
      </c>
    </row>
    <row r="252" ht="15" customHeight="1" thickBot="1">
      <c r="A252" s="160">
        <f t="shared" si="3"/>
        <v>385</v>
      </c>
    </row>
    <row r="253" ht="15" customHeight="1" thickBot="1">
      <c r="A253" s="160">
        <f t="shared" si="3"/>
        <v>384</v>
      </c>
    </row>
    <row r="254" ht="15" customHeight="1" thickBot="1">
      <c r="A254" s="160">
        <f t="shared" si="3"/>
        <v>383</v>
      </c>
    </row>
    <row r="255" ht="15" customHeight="1" thickBot="1">
      <c r="A255" s="160">
        <f t="shared" si="3"/>
        <v>382</v>
      </c>
    </row>
    <row r="256" ht="15" customHeight="1" thickBot="1">
      <c r="A256" s="160">
        <f t="shared" si="3"/>
        <v>381</v>
      </c>
    </row>
    <row r="257" ht="15" customHeight="1" thickBot="1">
      <c r="A257" s="160">
        <f t="shared" si="3"/>
        <v>380</v>
      </c>
    </row>
    <row r="258" ht="15" customHeight="1" thickBot="1">
      <c r="A258" s="160">
        <f t="shared" si="3"/>
        <v>379</v>
      </c>
    </row>
    <row r="259" ht="15" customHeight="1" thickBot="1">
      <c r="A259" s="160">
        <f t="shared" si="3"/>
        <v>378</v>
      </c>
    </row>
    <row r="260" ht="15" customHeight="1" thickBot="1">
      <c r="A260" s="160">
        <f t="shared" si="3"/>
        <v>377</v>
      </c>
    </row>
    <row r="261" ht="15" customHeight="1" thickBot="1">
      <c r="A261" s="160">
        <f t="shared" si="3"/>
        <v>376</v>
      </c>
    </row>
    <row r="262" ht="15" customHeight="1" thickBot="1">
      <c r="A262" s="160">
        <f t="shared" si="3"/>
        <v>375</v>
      </c>
    </row>
    <row r="263" ht="15" customHeight="1" thickBot="1">
      <c r="A263" s="160">
        <f aca="true" t="shared" si="4" ref="A263:A326">IF(ISTEXT(D264),1,1+A264)</f>
        <v>374</v>
      </c>
    </row>
    <row r="264" ht="15" customHeight="1" thickBot="1">
      <c r="A264" s="160">
        <f t="shared" si="4"/>
        <v>373</v>
      </c>
    </row>
    <row r="265" ht="15" customHeight="1" thickBot="1">
      <c r="A265" s="160">
        <f t="shared" si="4"/>
        <v>372</v>
      </c>
    </row>
    <row r="266" ht="15" customHeight="1" thickBot="1">
      <c r="A266" s="160">
        <f t="shared" si="4"/>
        <v>371</v>
      </c>
    </row>
    <row r="267" ht="15" customHeight="1" thickBot="1">
      <c r="A267" s="160">
        <f t="shared" si="4"/>
        <v>370</v>
      </c>
    </row>
    <row r="268" ht="15" customHeight="1" thickBot="1">
      <c r="A268" s="160">
        <f t="shared" si="4"/>
        <v>369</v>
      </c>
    </row>
    <row r="269" ht="15" customHeight="1" thickBot="1">
      <c r="A269" s="160">
        <f t="shared" si="4"/>
        <v>368</v>
      </c>
    </row>
    <row r="270" ht="15" customHeight="1" thickBot="1">
      <c r="A270" s="160">
        <f t="shared" si="4"/>
        <v>367</v>
      </c>
    </row>
    <row r="271" ht="15" customHeight="1" thickBot="1">
      <c r="A271" s="160">
        <f t="shared" si="4"/>
        <v>366</v>
      </c>
    </row>
    <row r="272" ht="15" customHeight="1" thickBot="1">
      <c r="A272" s="160">
        <f t="shared" si="4"/>
        <v>365</v>
      </c>
    </row>
    <row r="273" ht="15" customHeight="1" thickBot="1">
      <c r="A273" s="160">
        <f t="shared" si="4"/>
        <v>364</v>
      </c>
    </row>
    <row r="274" ht="15" customHeight="1" thickBot="1">
      <c r="A274" s="160">
        <f t="shared" si="4"/>
        <v>363</v>
      </c>
    </row>
    <row r="275" ht="15" customHeight="1" thickBot="1">
      <c r="A275" s="160">
        <f t="shared" si="4"/>
        <v>362</v>
      </c>
    </row>
    <row r="276" ht="15" customHeight="1" thickBot="1">
      <c r="A276" s="160">
        <f t="shared" si="4"/>
        <v>361</v>
      </c>
    </row>
    <row r="277" ht="15" customHeight="1" thickBot="1">
      <c r="A277" s="160">
        <f t="shared" si="4"/>
        <v>360</v>
      </c>
    </row>
    <row r="278" ht="15" customHeight="1" thickBot="1">
      <c r="A278" s="160">
        <f t="shared" si="4"/>
        <v>359</v>
      </c>
    </row>
    <row r="279" ht="15" customHeight="1" thickBot="1">
      <c r="A279" s="160">
        <f t="shared" si="4"/>
        <v>358</v>
      </c>
    </row>
    <row r="280" ht="15" customHeight="1" thickBot="1">
      <c r="A280" s="160">
        <f t="shared" si="4"/>
        <v>357</v>
      </c>
    </row>
    <row r="281" ht="15" customHeight="1" thickBot="1">
      <c r="A281" s="160">
        <f t="shared" si="4"/>
        <v>356</v>
      </c>
    </row>
    <row r="282" ht="15" customHeight="1" thickBot="1">
      <c r="A282" s="160">
        <f t="shared" si="4"/>
        <v>355</v>
      </c>
    </row>
    <row r="283" ht="15" customHeight="1" thickBot="1">
      <c r="A283" s="160">
        <f t="shared" si="4"/>
        <v>354</v>
      </c>
    </row>
    <row r="284" ht="15" customHeight="1" thickBot="1">
      <c r="A284" s="160">
        <f t="shared" si="4"/>
        <v>353</v>
      </c>
    </row>
    <row r="285" ht="15" customHeight="1" thickBot="1">
      <c r="A285" s="160">
        <f t="shared" si="4"/>
        <v>352</v>
      </c>
    </row>
    <row r="286" ht="15" customHeight="1" thickBot="1">
      <c r="A286" s="160">
        <f t="shared" si="4"/>
        <v>351</v>
      </c>
    </row>
    <row r="287" ht="15" customHeight="1" thickBot="1">
      <c r="A287" s="160">
        <f t="shared" si="4"/>
        <v>350</v>
      </c>
    </row>
    <row r="288" ht="15" customHeight="1" thickBot="1">
      <c r="A288" s="160">
        <f t="shared" si="4"/>
        <v>349</v>
      </c>
    </row>
    <row r="289" ht="15" customHeight="1" thickBot="1">
      <c r="A289" s="160">
        <f t="shared" si="4"/>
        <v>348</v>
      </c>
    </row>
    <row r="290" ht="15" customHeight="1" thickBot="1">
      <c r="A290" s="160">
        <f t="shared" si="4"/>
        <v>347</v>
      </c>
    </row>
    <row r="291" ht="15" customHeight="1" thickBot="1">
      <c r="A291" s="160">
        <f t="shared" si="4"/>
        <v>346</v>
      </c>
    </row>
    <row r="292" ht="15" customHeight="1" thickBot="1">
      <c r="A292" s="160">
        <f t="shared" si="4"/>
        <v>345</v>
      </c>
    </row>
    <row r="293" ht="15" customHeight="1" thickBot="1">
      <c r="A293" s="160">
        <f t="shared" si="4"/>
        <v>344</v>
      </c>
    </row>
    <row r="294" ht="15" customHeight="1" thickBot="1">
      <c r="A294" s="160">
        <f t="shared" si="4"/>
        <v>343</v>
      </c>
    </row>
    <row r="295" ht="15" customHeight="1" thickBot="1">
      <c r="A295" s="160">
        <f t="shared" si="4"/>
        <v>342</v>
      </c>
    </row>
    <row r="296" ht="15" customHeight="1" thickBot="1">
      <c r="A296" s="160">
        <f t="shared" si="4"/>
        <v>341</v>
      </c>
    </row>
    <row r="297" ht="15" customHeight="1" thickBot="1">
      <c r="A297" s="160">
        <f t="shared" si="4"/>
        <v>340</v>
      </c>
    </row>
    <row r="298" ht="15" customHeight="1" thickBot="1">
      <c r="A298" s="160">
        <f t="shared" si="4"/>
        <v>339</v>
      </c>
    </row>
    <row r="299" ht="15" customHeight="1" thickBot="1">
      <c r="A299" s="160">
        <f t="shared" si="4"/>
        <v>338</v>
      </c>
    </row>
    <row r="300" ht="15" customHeight="1" thickBot="1">
      <c r="A300" s="160">
        <f t="shared" si="4"/>
        <v>337</v>
      </c>
    </row>
    <row r="301" ht="15" customHeight="1" thickBot="1">
      <c r="A301" s="160">
        <f t="shared" si="4"/>
        <v>336</v>
      </c>
    </row>
    <row r="302" ht="15" customHeight="1" thickBot="1">
      <c r="A302" s="160">
        <f t="shared" si="4"/>
        <v>335</v>
      </c>
    </row>
    <row r="303" ht="15" customHeight="1" thickBot="1">
      <c r="A303" s="160">
        <f t="shared" si="4"/>
        <v>334</v>
      </c>
    </row>
    <row r="304" ht="15" customHeight="1" thickBot="1">
      <c r="A304" s="160">
        <f t="shared" si="4"/>
        <v>333</v>
      </c>
    </row>
    <row r="305" ht="15" customHeight="1" thickBot="1">
      <c r="A305" s="160">
        <f t="shared" si="4"/>
        <v>332</v>
      </c>
    </row>
    <row r="306" ht="15" customHeight="1" thickBot="1">
      <c r="A306" s="160">
        <f t="shared" si="4"/>
        <v>331</v>
      </c>
    </row>
    <row r="307" ht="15" customHeight="1" thickBot="1">
      <c r="A307" s="160">
        <f t="shared" si="4"/>
        <v>330</v>
      </c>
    </row>
    <row r="308" ht="15" customHeight="1" thickBot="1">
      <c r="A308" s="160">
        <f t="shared" si="4"/>
        <v>329</v>
      </c>
    </row>
    <row r="309" ht="15" customHeight="1" thickBot="1">
      <c r="A309" s="160">
        <f t="shared" si="4"/>
        <v>328</v>
      </c>
    </row>
    <row r="310" ht="15" customHeight="1" thickBot="1">
      <c r="A310" s="160">
        <f t="shared" si="4"/>
        <v>327</v>
      </c>
    </row>
    <row r="311" ht="15" customHeight="1" thickBot="1">
      <c r="A311" s="160">
        <f t="shared" si="4"/>
        <v>326</v>
      </c>
    </row>
    <row r="312" ht="15" customHeight="1" thickBot="1">
      <c r="A312" s="160">
        <f t="shared" si="4"/>
        <v>325</v>
      </c>
    </row>
    <row r="313" ht="15" customHeight="1" thickBot="1">
      <c r="A313" s="160">
        <f t="shared" si="4"/>
        <v>324</v>
      </c>
    </row>
    <row r="314" ht="15" customHeight="1" thickBot="1">
      <c r="A314" s="160">
        <f t="shared" si="4"/>
        <v>323</v>
      </c>
    </row>
    <row r="315" ht="15" customHeight="1" thickBot="1">
      <c r="A315" s="160">
        <f t="shared" si="4"/>
        <v>322</v>
      </c>
    </row>
    <row r="316" ht="15" customHeight="1" thickBot="1">
      <c r="A316" s="160">
        <f t="shared" si="4"/>
        <v>321</v>
      </c>
    </row>
    <row r="317" ht="15" customHeight="1" thickBot="1">
      <c r="A317" s="160">
        <f t="shared" si="4"/>
        <v>320</v>
      </c>
    </row>
    <row r="318" ht="15" customHeight="1" thickBot="1">
      <c r="A318" s="160">
        <f t="shared" si="4"/>
        <v>319</v>
      </c>
    </row>
    <row r="319" ht="15" customHeight="1" thickBot="1">
      <c r="A319" s="160">
        <f t="shared" si="4"/>
        <v>318</v>
      </c>
    </row>
    <row r="320" ht="15" customHeight="1" thickBot="1">
      <c r="A320" s="160">
        <f t="shared" si="4"/>
        <v>317</v>
      </c>
    </row>
    <row r="321" ht="15" customHeight="1" thickBot="1">
      <c r="A321" s="160">
        <f t="shared" si="4"/>
        <v>316</v>
      </c>
    </row>
    <row r="322" ht="15" customHeight="1" thickBot="1">
      <c r="A322" s="160">
        <f t="shared" si="4"/>
        <v>315</v>
      </c>
    </row>
    <row r="323" ht="15" customHeight="1" thickBot="1">
      <c r="A323" s="160">
        <f t="shared" si="4"/>
        <v>314</v>
      </c>
    </row>
    <row r="324" ht="15" customHeight="1" thickBot="1">
      <c r="A324" s="160">
        <f t="shared" si="4"/>
        <v>313</v>
      </c>
    </row>
    <row r="325" ht="15" customHeight="1" thickBot="1">
      <c r="A325" s="160">
        <f t="shared" si="4"/>
        <v>312</v>
      </c>
    </row>
    <row r="326" ht="15" customHeight="1" thickBot="1">
      <c r="A326" s="160">
        <f t="shared" si="4"/>
        <v>311</v>
      </c>
    </row>
    <row r="327" ht="15" customHeight="1" thickBot="1">
      <c r="A327" s="160">
        <f aca="true" t="shared" si="5" ref="A327:A390">IF(ISTEXT(D328),1,1+A328)</f>
        <v>310</v>
      </c>
    </row>
    <row r="328" ht="15" customHeight="1" thickBot="1">
      <c r="A328" s="160">
        <f t="shared" si="5"/>
        <v>309</v>
      </c>
    </row>
    <row r="329" ht="15" customHeight="1" thickBot="1">
      <c r="A329" s="160">
        <f t="shared" si="5"/>
        <v>308</v>
      </c>
    </row>
    <row r="330" ht="15" customHeight="1" thickBot="1">
      <c r="A330" s="160">
        <f t="shared" si="5"/>
        <v>307</v>
      </c>
    </row>
    <row r="331" ht="15" customHeight="1" thickBot="1">
      <c r="A331" s="160">
        <f t="shared" si="5"/>
        <v>306</v>
      </c>
    </row>
    <row r="332" ht="15" customHeight="1" thickBot="1">
      <c r="A332" s="160">
        <f t="shared" si="5"/>
        <v>305</v>
      </c>
    </row>
    <row r="333" ht="15" customHeight="1" thickBot="1">
      <c r="A333" s="160">
        <f t="shared" si="5"/>
        <v>304</v>
      </c>
    </row>
    <row r="334" ht="15" customHeight="1" thickBot="1">
      <c r="A334" s="160">
        <f t="shared" si="5"/>
        <v>303</v>
      </c>
    </row>
    <row r="335" ht="15" customHeight="1" thickBot="1">
      <c r="A335" s="160">
        <f t="shared" si="5"/>
        <v>302</v>
      </c>
    </row>
    <row r="336" ht="15" customHeight="1" thickBot="1">
      <c r="A336" s="160">
        <f t="shared" si="5"/>
        <v>301</v>
      </c>
    </row>
    <row r="337" ht="15" customHeight="1" thickBot="1">
      <c r="A337" s="160">
        <f t="shared" si="5"/>
        <v>300</v>
      </c>
    </row>
    <row r="338" ht="15" customHeight="1" thickBot="1">
      <c r="A338" s="160">
        <f t="shared" si="5"/>
        <v>299</v>
      </c>
    </row>
    <row r="339" ht="15" customHeight="1" thickBot="1">
      <c r="A339" s="160">
        <f t="shared" si="5"/>
        <v>298</v>
      </c>
    </row>
    <row r="340" ht="15" customHeight="1" thickBot="1">
      <c r="A340" s="160">
        <f t="shared" si="5"/>
        <v>297</v>
      </c>
    </row>
    <row r="341" ht="15" customHeight="1" thickBot="1">
      <c r="A341" s="160">
        <f t="shared" si="5"/>
        <v>296</v>
      </c>
    </row>
    <row r="342" ht="15" customHeight="1" thickBot="1">
      <c r="A342" s="160">
        <f t="shared" si="5"/>
        <v>295</v>
      </c>
    </row>
    <row r="343" ht="15" customHeight="1" thickBot="1">
      <c r="A343" s="160">
        <f t="shared" si="5"/>
        <v>294</v>
      </c>
    </row>
    <row r="344" ht="15" customHeight="1" thickBot="1">
      <c r="A344" s="160">
        <f t="shared" si="5"/>
        <v>293</v>
      </c>
    </row>
    <row r="345" ht="15" customHeight="1" thickBot="1">
      <c r="A345" s="160">
        <f t="shared" si="5"/>
        <v>292</v>
      </c>
    </row>
    <row r="346" ht="15" customHeight="1" thickBot="1">
      <c r="A346" s="160">
        <f t="shared" si="5"/>
        <v>291</v>
      </c>
    </row>
    <row r="347" ht="15" customHeight="1" thickBot="1">
      <c r="A347" s="160">
        <f t="shared" si="5"/>
        <v>290</v>
      </c>
    </row>
    <row r="348" ht="15" customHeight="1" thickBot="1">
      <c r="A348" s="160">
        <f t="shared" si="5"/>
        <v>289</v>
      </c>
    </row>
    <row r="349" ht="15" customHeight="1" thickBot="1">
      <c r="A349" s="160">
        <f t="shared" si="5"/>
        <v>288</v>
      </c>
    </row>
    <row r="350" ht="15" customHeight="1" thickBot="1">
      <c r="A350" s="160">
        <f t="shared" si="5"/>
        <v>287</v>
      </c>
    </row>
    <row r="351" ht="15" customHeight="1" thickBot="1">
      <c r="A351" s="160">
        <f t="shared" si="5"/>
        <v>286</v>
      </c>
    </row>
    <row r="352" ht="15" customHeight="1" thickBot="1">
      <c r="A352" s="160">
        <f t="shared" si="5"/>
        <v>285</v>
      </c>
    </row>
    <row r="353" ht="15" customHeight="1" thickBot="1">
      <c r="A353" s="160">
        <f t="shared" si="5"/>
        <v>284</v>
      </c>
    </row>
    <row r="354" ht="15" customHeight="1" thickBot="1">
      <c r="A354" s="160">
        <f t="shared" si="5"/>
        <v>283</v>
      </c>
    </row>
    <row r="355" ht="15" customHeight="1" thickBot="1">
      <c r="A355" s="160">
        <f t="shared" si="5"/>
        <v>282</v>
      </c>
    </row>
    <row r="356" ht="15" customHeight="1" thickBot="1">
      <c r="A356" s="160">
        <f t="shared" si="5"/>
        <v>281</v>
      </c>
    </row>
    <row r="357" ht="15" customHeight="1" thickBot="1">
      <c r="A357" s="160">
        <f t="shared" si="5"/>
        <v>280</v>
      </c>
    </row>
    <row r="358" ht="15" customHeight="1" thickBot="1">
      <c r="A358" s="160">
        <f t="shared" si="5"/>
        <v>279</v>
      </c>
    </row>
    <row r="359" ht="15" customHeight="1" thickBot="1">
      <c r="A359" s="160">
        <f t="shared" si="5"/>
        <v>278</v>
      </c>
    </row>
    <row r="360" ht="15" customHeight="1" thickBot="1">
      <c r="A360" s="160">
        <f t="shared" si="5"/>
        <v>277</v>
      </c>
    </row>
    <row r="361" ht="15" customHeight="1" thickBot="1">
      <c r="A361" s="160">
        <f t="shared" si="5"/>
        <v>276</v>
      </c>
    </row>
    <row r="362" ht="15" customHeight="1" thickBot="1">
      <c r="A362" s="160">
        <f t="shared" si="5"/>
        <v>275</v>
      </c>
    </row>
    <row r="363" ht="15" customHeight="1" thickBot="1">
      <c r="A363" s="160">
        <f t="shared" si="5"/>
        <v>274</v>
      </c>
    </row>
    <row r="364" ht="15" customHeight="1" thickBot="1">
      <c r="A364" s="160">
        <f t="shared" si="5"/>
        <v>273</v>
      </c>
    </row>
    <row r="365" ht="15" customHeight="1" thickBot="1">
      <c r="A365" s="160">
        <f t="shared" si="5"/>
        <v>272</v>
      </c>
    </row>
    <row r="366" ht="15" customHeight="1" thickBot="1">
      <c r="A366" s="160">
        <f t="shared" si="5"/>
        <v>271</v>
      </c>
    </row>
    <row r="367" ht="15" customHeight="1" thickBot="1">
      <c r="A367" s="160">
        <f t="shared" si="5"/>
        <v>270</v>
      </c>
    </row>
    <row r="368" ht="15" customHeight="1" thickBot="1">
      <c r="A368" s="160">
        <f t="shared" si="5"/>
        <v>269</v>
      </c>
    </row>
    <row r="369" ht="15" customHeight="1" thickBot="1">
      <c r="A369" s="160">
        <f t="shared" si="5"/>
        <v>268</v>
      </c>
    </row>
    <row r="370" ht="15" customHeight="1" thickBot="1">
      <c r="A370" s="160">
        <f t="shared" si="5"/>
        <v>267</v>
      </c>
    </row>
    <row r="371" ht="15" customHeight="1" thickBot="1">
      <c r="A371" s="160">
        <f t="shared" si="5"/>
        <v>266</v>
      </c>
    </row>
    <row r="372" ht="15" customHeight="1" thickBot="1">
      <c r="A372" s="160">
        <f t="shared" si="5"/>
        <v>265</v>
      </c>
    </row>
    <row r="373" ht="15" customHeight="1" thickBot="1">
      <c r="A373" s="160">
        <f t="shared" si="5"/>
        <v>264</v>
      </c>
    </row>
    <row r="374" ht="15" customHeight="1" thickBot="1">
      <c r="A374" s="160">
        <f t="shared" si="5"/>
        <v>263</v>
      </c>
    </row>
    <row r="375" ht="15" customHeight="1" thickBot="1">
      <c r="A375" s="160">
        <f t="shared" si="5"/>
        <v>262</v>
      </c>
    </row>
    <row r="376" ht="15" customHeight="1" thickBot="1">
      <c r="A376" s="160">
        <f t="shared" si="5"/>
        <v>261</v>
      </c>
    </row>
    <row r="377" ht="15" customHeight="1" thickBot="1">
      <c r="A377" s="160">
        <f t="shared" si="5"/>
        <v>260</v>
      </c>
    </row>
    <row r="378" ht="15" customHeight="1" thickBot="1">
      <c r="A378" s="160">
        <f t="shared" si="5"/>
        <v>259</v>
      </c>
    </row>
    <row r="379" ht="15" customHeight="1" thickBot="1">
      <c r="A379" s="160">
        <f t="shared" si="5"/>
        <v>258</v>
      </c>
    </row>
    <row r="380" ht="15" customHeight="1" thickBot="1">
      <c r="A380" s="160">
        <f t="shared" si="5"/>
        <v>257</v>
      </c>
    </row>
    <row r="381" ht="15" customHeight="1" thickBot="1">
      <c r="A381" s="160">
        <f t="shared" si="5"/>
        <v>256</v>
      </c>
    </row>
    <row r="382" ht="15" customHeight="1" thickBot="1">
      <c r="A382" s="160">
        <f t="shared" si="5"/>
        <v>255</v>
      </c>
    </row>
    <row r="383" ht="15" customHeight="1" thickBot="1">
      <c r="A383" s="160">
        <f t="shared" si="5"/>
        <v>254</v>
      </c>
    </row>
    <row r="384" ht="15" customHeight="1" thickBot="1">
      <c r="A384" s="160">
        <f t="shared" si="5"/>
        <v>253</v>
      </c>
    </row>
    <row r="385" ht="15" customHeight="1" thickBot="1">
      <c r="A385" s="160">
        <f t="shared" si="5"/>
        <v>252</v>
      </c>
    </row>
    <row r="386" ht="15" customHeight="1" thickBot="1">
      <c r="A386" s="160">
        <f t="shared" si="5"/>
        <v>251</v>
      </c>
    </row>
    <row r="387" ht="15" customHeight="1" thickBot="1">
      <c r="A387" s="160">
        <f t="shared" si="5"/>
        <v>250</v>
      </c>
    </row>
    <row r="388" ht="15" customHeight="1" thickBot="1">
      <c r="A388" s="160">
        <f t="shared" si="5"/>
        <v>249</v>
      </c>
    </row>
    <row r="389" ht="15" customHeight="1" thickBot="1">
      <c r="A389" s="160">
        <f t="shared" si="5"/>
        <v>248</v>
      </c>
    </row>
    <row r="390" ht="15" customHeight="1" thickBot="1">
      <c r="A390" s="160">
        <f t="shared" si="5"/>
        <v>247</v>
      </c>
    </row>
    <row r="391" ht="15" customHeight="1" thickBot="1">
      <c r="A391" s="160">
        <f aca="true" t="shared" si="6" ref="A391:A454">IF(ISTEXT(D392),1,1+A392)</f>
        <v>246</v>
      </c>
    </row>
    <row r="392" ht="15" customHeight="1" thickBot="1">
      <c r="A392" s="160">
        <f t="shared" si="6"/>
        <v>245</v>
      </c>
    </row>
    <row r="393" ht="15" customHeight="1" thickBot="1">
      <c r="A393" s="160">
        <f t="shared" si="6"/>
        <v>244</v>
      </c>
    </row>
    <row r="394" ht="15" customHeight="1" thickBot="1">
      <c r="A394" s="160">
        <f t="shared" si="6"/>
        <v>243</v>
      </c>
    </row>
    <row r="395" ht="15" customHeight="1" thickBot="1">
      <c r="A395" s="160">
        <f t="shared" si="6"/>
        <v>242</v>
      </c>
    </row>
    <row r="396" ht="15" customHeight="1" thickBot="1">
      <c r="A396" s="160">
        <f t="shared" si="6"/>
        <v>241</v>
      </c>
    </row>
    <row r="397" ht="15" customHeight="1" thickBot="1">
      <c r="A397" s="160">
        <f t="shared" si="6"/>
        <v>240</v>
      </c>
    </row>
    <row r="398" ht="15" customHeight="1" thickBot="1">
      <c r="A398" s="160">
        <f t="shared" si="6"/>
        <v>239</v>
      </c>
    </row>
    <row r="399" ht="15" customHeight="1" thickBot="1">
      <c r="A399" s="160">
        <f t="shared" si="6"/>
        <v>238</v>
      </c>
    </row>
    <row r="400" ht="15" customHeight="1" thickBot="1">
      <c r="A400" s="160">
        <f t="shared" si="6"/>
        <v>237</v>
      </c>
    </row>
    <row r="401" ht="15" customHeight="1" thickBot="1">
      <c r="A401" s="160">
        <f t="shared" si="6"/>
        <v>236</v>
      </c>
    </row>
    <row r="402" ht="15" customHeight="1" thickBot="1">
      <c r="A402" s="160">
        <f t="shared" si="6"/>
        <v>235</v>
      </c>
    </row>
    <row r="403" ht="15" customHeight="1" thickBot="1">
      <c r="A403" s="160">
        <f t="shared" si="6"/>
        <v>234</v>
      </c>
    </row>
    <row r="404" ht="15" customHeight="1" thickBot="1">
      <c r="A404" s="160">
        <f t="shared" si="6"/>
        <v>233</v>
      </c>
    </row>
    <row r="405" ht="15" customHeight="1" thickBot="1">
      <c r="A405" s="160">
        <f t="shared" si="6"/>
        <v>232</v>
      </c>
    </row>
    <row r="406" ht="15" customHeight="1" thickBot="1">
      <c r="A406" s="160">
        <f t="shared" si="6"/>
        <v>231</v>
      </c>
    </row>
    <row r="407" ht="15" customHeight="1" thickBot="1">
      <c r="A407" s="160">
        <f t="shared" si="6"/>
        <v>230</v>
      </c>
    </row>
    <row r="408" ht="15" customHeight="1" thickBot="1">
      <c r="A408" s="160">
        <f t="shared" si="6"/>
        <v>229</v>
      </c>
    </row>
    <row r="409" ht="15" customHeight="1" thickBot="1">
      <c r="A409" s="160">
        <f t="shared" si="6"/>
        <v>228</v>
      </c>
    </row>
    <row r="410" ht="15" customHeight="1" thickBot="1">
      <c r="A410" s="160">
        <f t="shared" si="6"/>
        <v>227</v>
      </c>
    </row>
    <row r="411" ht="15" customHeight="1" thickBot="1">
      <c r="A411" s="160">
        <f t="shared" si="6"/>
        <v>226</v>
      </c>
    </row>
    <row r="412" ht="15" customHeight="1" thickBot="1">
      <c r="A412" s="160">
        <f t="shared" si="6"/>
        <v>225</v>
      </c>
    </row>
    <row r="413" ht="15" customHeight="1" thickBot="1">
      <c r="A413" s="160">
        <f t="shared" si="6"/>
        <v>224</v>
      </c>
    </row>
    <row r="414" ht="15" customHeight="1" thickBot="1">
      <c r="A414" s="160">
        <f t="shared" si="6"/>
        <v>223</v>
      </c>
    </row>
    <row r="415" ht="15" customHeight="1" thickBot="1">
      <c r="A415" s="160">
        <f t="shared" si="6"/>
        <v>222</v>
      </c>
    </row>
    <row r="416" ht="15" customHeight="1" thickBot="1">
      <c r="A416" s="160">
        <f t="shared" si="6"/>
        <v>221</v>
      </c>
    </row>
    <row r="417" ht="15" customHeight="1" thickBot="1">
      <c r="A417" s="160">
        <f t="shared" si="6"/>
        <v>220</v>
      </c>
    </row>
    <row r="418" ht="15" customHeight="1" thickBot="1">
      <c r="A418" s="160">
        <f t="shared" si="6"/>
        <v>219</v>
      </c>
    </row>
    <row r="419" ht="15" customHeight="1" thickBot="1">
      <c r="A419" s="160">
        <f t="shared" si="6"/>
        <v>218</v>
      </c>
    </row>
    <row r="420" ht="15" customHeight="1" thickBot="1">
      <c r="A420" s="160">
        <f t="shared" si="6"/>
        <v>217</v>
      </c>
    </row>
    <row r="421" ht="15" customHeight="1" thickBot="1">
      <c r="A421" s="160">
        <f t="shared" si="6"/>
        <v>216</v>
      </c>
    </row>
    <row r="422" ht="15" customHeight="1" thickBot="1">
      <c r="A422" s="160">
        <f t="shared" si="6"/>
        <v>215</v>
      </c>
    </row>
    <row r="423" ht="15" customHeight="1" thickBot="1">
      <c r="A423" s="160">
        <f t="shared" si="6"/>
        <v>214</v>
      </c>
    </row>
    <row r="424" ht="15" customHeight="1" thickBot="1">
      <c r="A424" s="160">
        <f t="shared" si="6"/>
        <v>213</v>
      </c>
    </row>
    <row r="425" ht="15" customHeight="1" thickBot="1">
      <c r="A425" s="160">
        <f t="shared" si="6"/>
        <v>212</v>
      </c>
    </row>
    <row r="426" ht="15" customHeight="1" thickBot="1">
      <c r="A426" s="160">
        <f t="shared" si="6"/>
        <v>211</v>
      </c>
    </row>
    <row r="427" ht="15" customHeight="1" thickBot="1">
      <c r="A427" s="160">
        <f t="shared" si="6"/>
        <v>210</v>
      </c>
    </row>
    <row r="428" ht="15" customHeight="1" thickBot="1">
      <c r="A428" s="160">
        <f t="shared" si="6"/>
        <v>209</v>
      </c>
    </row>
    <row r="429" ht="15" customHeight="1" thickBot="1">
      <c r="A429" s="160">
        <f t="shared" si="6"/>
        <v>208</v>
      </c>
    </row>
    <row r="430" ht="15" customHeight="1" thickBot="1">
      <c r="A430" s="160">
        <f t="shared" si="6"/>
        <v>207</v>
      </c>
    </row>
    <row r="431" ht="15" customHeight="1" thickBot="1">
      <c r="A431" s="160">
        <f t="shared" si="6"/>
        <v>206</v>
      </c>
    </row>
    <row r="432" ht="15" customHeight="1" thickBot="1">
      <c r="A432" s="160">
        <f t="shared" si="6"/>
        <v>205</v>
      </c>
    </row>
    <row r="433" ht="15" customHeight="1" thickBot="1">
      <c r="A433" s="160">
        <f t="shared" si="6"/>
        <v>204</v>
      </c>
    </row>
    <row r="434" ht="15" customHeight="1" thickBot="1">
      <c r="A434" s="160">
        <f t="shared" si="6"/>
        <v>203</v>
      </c>
    </row>
    <row r="435" ht="15" customHeight="1" thickBot="1">
      <c r="A435" s="160">
        <f t="shared" si="6"/>
        <v>202</v>
      </c>
    </row>
    <row r="436" ht="15" customHeight="1" thickBot="1">
      <c r="A436" s="160">
        <f t="shared" si="6"/>
        <v>201</v>
      </c>
    </row>
    <row r="437" ht="15" customHeight="1" thickBot="1">
      <c r="A437" s="160">
        <f t="shared" si="6"/>
        <v>200</v>
      </c>
    </row>
    <row r="438" ht="15" customHeight="1" thickBot="1">
      <c r="A438" s="160">
        <f t="shared" si="6"/>
        <v>199</v>
      </c>
    </row>
    <row r="439" ht="15" customHeight="1" thickBot="1">
      <c r="A439" s="160">
        <f t="shared" si="6"/>
        <v>198</v>
      </c>
    </row>
    <row r="440" ht="15" customHeight="1" thickBot="1">
      <c r="A440" s="160">
        <f t="shared" si="6"/>
        <v>197</v>
      </c>
    </row>
    <row r="441" ht="15" customHeight="1" thickBot="1">
      <c r="A441" s="160">
        <f t="shared" si="6"/>
        <v>196</v>
      </c>
    </row>
    <row r="442" ht="15" customHeight="1" thickBot="1">
      <c r="A442" s="160">
        <f t="shared" si="6"/>
        <v>195</v>
      </c>
    </row>
    <row r="443" ht="15" customHeight="1" thickBot="1">
      <c r="A443" s="160">
        <f t="shared" si="6"/>
        <v>194</v>
      </c>
    </row>
    <row r="444" ht="15" customHeight="1" thickBot="1">
      <c r="A444" s="160">
        <f t="shared" si="6"/>
        <v>193</v>
      </c>
    </row>
    <row r="445" ht="15" customHeight="1" thickBot="1">
      <c r="A445" s="160">
        <f t="shared" si="6"/>
        <v>192</v>
      </c>
    </row>
    <row r="446" ht="15" customHeight="1" thickBot="1">
      <c r="A446" s="160">
        <f t="shared" si="6"/>
        <v>191</v>
      </c>
    </row>
    <row r="447" ht="15" customHeight="1" thickBot="1">
      <c r="A447" s="160">
        <f t="shared" si="6"/>
        <v>190</v>
      </c>
    </row>
    <row r="448" ht="15" customHeight="1" thickBot="1">
      <c r="A448" s="160">
        <f t="shared" si="6"/>
        <v>189</v>
      </c>
    </row>
    <row r="449" ht="15" customHeight="1" thickBot="1">
      <c r="A449" s="160">
        <f t="shared" si="6"/>
        <v>188</v>
      </c>
    </row>
    <row r="450" ht="15" customHeight="1" thickBot="1">
      <c r="A450" s="160">
        <f t="shared" si="6"/>
        <v>187</v>
      </c>
    </row>
    <row r="451" ht="15" customHeight="1" thickBot="1">
      <c r="A451" s="160">
        <f t="shared" si="6"/>
        <v>186</v>
      </c>
    </row>
    <row r="452" ht="15" customHeight="1" thickBot="1">
      <c r="A452" s="160">
        <f t="shared" si="6"/>
        <v>185</v>
      </c>
    </row>
    <row r="453" ht="15" customHeight="1" thickBot="1">
      <c r="A453" s="160">
        <f t="shared" si="6"/>
        <v>184</v>
      </c>
    </row>
    <row r="454" ht="15" customHeight="1" thickBot="1">
      <c r="A454" s="160">
        <f t="shared" si="6"/>
        <v>183</v>
      </c>
    </row>
    <row r="455" ht="15" customHeight="1" thickBot="1">
      <c r="A455" s="160">
        <f aca="true" t="shared" si="7" ref="A455:A518">IF(ISTEXT(D456),1,1+A456)</f>
        <v>182</v>
      </c>
    </row>
    <row r="456" ht="15" customHeight="1" thickBot="1">
      <c r="A456" s="160">
        <f t="shared" si="7"/>
        <v>181</v>
      </c>
    </row>
    <row r="457" ht="15" customHeight="1" thickBot="1">
      <c r="A457" s="160">
        <f t="shared" si="7"/>
        <v>180</v>
      </c>
    </row>
    <row r="458" ht="15" customHeight="1" thickBot="1">
      <c r="A458" s="160">
        <f t="shared" si="7"/>
        <v>179</v>
      </c>
    </row>
    <row r="459" ht="15" customHeight="1" thickBot="1">
      <c r="A459" s="160">
        <f t="shared" si="7"/>
        <v>178</v>
      </c>
    </row>
    <row r="460" ht="15" customHeight="1" thickBot="1">
      <c r="A460" s="160">
        <f t="shared" si="7"/>
        <v>177</v>
      </c>
    </row>
    <row r="461" ht="15" customHeight="1" thickBot="1">
      <c r="A461" s="160">
        <f t="shared" si="7"/>
        <v>176</v>
      </c>
    </row>
    <row r="462" ht="15" customHeight="1" thickBot="1">
      <c r="A462" s="160">
        <f t="shared" si="7"/>
        <v>175</v>
      </c>
    </row>
    <row r="463" ht="15" customHeight="1" thickBot="1">
      <c r="A463" s="160">
        <f t="shared" si="7"/>
        <v>174</v>
      </c>
    </row>
    <row r="464" ht="15" customHeight="1" thickBot="1">
      <c r="A464" s="160">
        <f t="shared" si="7"/>
        <v>173</v>
      </c>
    </row>
    <row r="465" ht="15" customHeight="1" thickBot="1">
      <c r="A465" s="160">
        <f t="shared" si="7"/>
        <v>172</v>
      </c>
    </row>
    <row r="466" ht="15" customHeight="1" thickBot="1">
      <c r="A466" s="160">
        <f t="shared" si="7"/>
        <v>171</v>
      </c>
    </row>
    <row r="467" ht="15" customHeight="1" thickBot="1">
      <c r="A467" s="160">
        <f t="shared" si="7"/>
        <v>170</v>
      </c>
    </row>
    <row r="468" ht="15" customHeight="1" thickBot="1">
      <c r="A468" s="160">
        <f t="shared" si="7"/>
        <v>169</v>
      </c>
    </row>
    <row r="469" ht="15" customHeight="1" thickBot="1">
      <c r="A469" s="160">
        <f t="shared" si="7"/>
        <v>168</v>
      </c>
    </row>
    <row r="470" ht="15" customHeight="1" thickBot="1">
      <c r="A470" s="160">
        <f t="shared" si="7"/>
        <v>167</v>
      </c>
    </row>
    <row r="471" ht="15" customHeight="1" thickBot="1">
      <c r="A471" s="160">
        <f t="shared" si="7"/>
        <v>166</v>
      </c>
    </row>
    <row r="472" ht="15" customHeight="1" thickBot="1">
      <c r="A472" s="160">
        <f t="shared" si="7"/>
        <v>165</v>
      </c>
    </row>
    <row r="473" ht="15" customHeight="1" thickBot="1">
      <c r="A473" s="160">
        <f t="shared" si="7"/>
        <v>164</v>
      </c>
    </row>
    <row r="474" ht="15" customHeight="1" thickBot="1">
      <c r="A474" s="160">
        <f t="shared" si="7"/>
        <v>163</v>
      </c>
    </row>
    <row r="475" ht="15" customHeight="1" thickBot="1">
      <c r="A475" s="160">
        <f t="shared" si="7"/>
        <v>162</v>
      </c>
    </row>
    <row r="476" ht="15" customHeight="1" thickBot="1">
      <c r="A476" s="160">
        <f t="shared" si="7"/>
        <v>161</v>
      </c>
    </row>
    <row r="477" ht="15" customHeight="1" thickBot="1">
      <c r="A477" s="160">
        <f t="shared" si="7"/>
        <v>160</v>
      </c>
    </row>
    <row r="478" ht="15" customHeight="1" thickBot="1">
      <c r="A478" s="160">
        <f t="shared" si="7"/>
        <v>159</v>
      </c>
    </row>
    <row r="479" ht="15" customHeight="1" thickBot="1">
      <c r="A479" s="160">
        <f t="shared" si="7"/>
        <v>158</v>
      </c>
    </row>
    <row r="480" ht="15" customHeight="1" thickBot="1">
      <c r="A480" s="160">
        <f t="shared" si="7"/>
        <v>157</v>
      </c>
    </row>
    <row r="481" ht="15" customHeight="1" thickBot="1">
      <c r="A481" s="160">
        <f t="shared" si="7"/>
        <v>156</v>
      </c>
    </row>
    <row r="482" ht="15" customHeight="1" thickBot="1">
      <c r="A482" s="160">
        <f t="shared" si="7"/>
        <v>155</v>
      </c>
    </row>
    <row r="483" ht="15" customHeight="1" thickBot="1">
      <c r="A483" s="160">
        <f t="shared" si="7"/>
        <v>154</v>
      </c>
    </row>
    <row r="484" ht="15" customHeight="1" thickBot="1">
      <c r="A484" s="160">
        <f t="shared" si="7"/>
        <v>153</v>
      </c>
    </row>
    <row r="485" ht="15" customHeight="1" thickBot="1">
      <c r="A485" s="160">
        <f t="shared" si="7"/>
        <v>152</v>
      </c>
    </row>
    <row r="486" ht="15" customHeight="1" thickBot="1">
      <c r="A486" s="160">
        <f t="shared" si="7"/>
        <v>151</v>
      </c>
    </row>
    <row r="487" ht="15" customHeight="1" thickBot="1">
      <c r="A487" s="160">
        <f t="shared" si="7"/>
        <v>150</v>
      </c>
    </row>
    <row r="488" ht="15" customHeight="1" thickBot="1">
      <c r="A488" s="160">
        <f t="shared" si="7"/>
        <v>149</v>
      </c>
    </row>
    <row r="489" ht="15" customHeight="1" thickBot="1">
      <c r="A489" s="160">
        <f t="shared" si="7"/>
        <v>148</v>
      </c>
    </row>
    <row r="490" ht="15" customHeight="1" thickBot="1">
      <c r="A490" s="160">
        <f t="shared" si="7"/>
        <v>147</v>
      </c>
    </row>
    <row r="491" ht="15" customHeight="1" thickBot="1">
      <c r="A491" s="160">
        <f t="shared" si="7"/>
        <v>146</v>
      </c>
    </row>
    <row r="492" ht="15" customHeight="1" thickBot="1">
      <c r="A492" s="160">
        <f t="shared" si="7"/>
        <v>145</v>
      </c>
    </row>
    <row r="493" ht="15" customHeight="1" thickBot="1">
      <c r="A493" s="160">
        <f t="shared" si="7"/>
        <v>144</v>
      </c>
    </row>
    <row r="494" ht="15" customHeight="1" thickBot="1">
      <c r="A494" s="160">
        <f t="shared" si="7"/>
        <v>143</v>
      </c>
    </row>
    <row r="495" ht="15" customHeight="1" thickBot="1">
      <c r="A495" s="160">
        <f t="shared" si="7"/>
        <v>142</v>
      </c>
    </row>
    <row r="496" ht="15" customHeight="1" thickBot="1">
      <c r="A496" s="160">
        <f t="shared" si="7"/>
        <v>141</v>
      </c>
    </row>
    <row r="497" ht="15" customHeight="1" thickBot="1">
      <c r="A497" s="160">
        <f t="shared" si="7"/>
        <v>140</v>
      </c>
    </row>
    <row r="498" ht="15" customHeight="1" thickBot="1">
      <c r="A498" s="160">
        <f t="shared" si="7"/>
        <v>139</v>
      </c>
    </row>
    <row r="499" ht="15" customHeight="1" thickBot="1">
      <c r="A499" s="160">
        <f t="shared" si="7"/>
        <v>138</v>
      </c>
    </row>
    <row r="500" ht="15" customHeight="1" thickBot="1">
      <c r="A500" s="160">
        <f t="shared" si="7"/>
        <v>137</v>
      </c>
    </row>
    <row r="501" ht="15" customHeight="1" thickBot="1">
      <c r="A501" s="160">
        <f t="shared" si="7"/>
        <v>136</v>
      </c>
    </row>
    <row r="502" ht="15" customHeight="1" thickBot="1">
      <c r="A502" s="160">
        <f t="shared" si="7"/>
        <v>135</v>
      </c>
    </row>
    <row r="503" ht="15" customHeight="1" thickBot="1">
      <c r="A503" s="160">
        <f t="shared" si="7"/>
        <v>134</v>
      </c>
    </row>
    <row r="504" ht="15" customHeight="1" thickBot="1">
      <c r="A504" s="160">
        <f t="shared" si="7"/>
        <v>133</v>
      </c>
    </row>
    <row r="505" ht="15" customHeight="1" thickBot="1">
      <c r="A505" s="160">
        <f t="shared" si="7"/>
        <v>132</v>
      </c>
    </row>
    <row r="506" ht="15" customHeight="1" thickBot="1">
      <c r="A506" s="160">
        <f t="shared" si="7"/>
        <v>131</v>
      </c>
    </row>
    <row r="507" ht="15" customHeight="1" thickBot="1">
      <c r="A507" s="160">
        <f t="shared" si="7"/>
        <v>130</v>
      </c>
    </row>
    <row r="508" ht="15" customHeight="1" thickBot="1">
      <c r="A508" s="160">
        <f t="shared" si="7"/>
        <v>129</v>
      </c>
    </row>
    <row r="509" ht="15" customHeight="1" thickBot="1">
      <c r="A509" s="160">
        <f t="shared" si="7"/>
        <v>128</v>
      </c>
    </row>
    <row r="510" ht="15" customHeight="1" thickBot="1">
      <c r="A510" s="160">
        <f t="shared" si="7"/>
        <v>127</v>
      </c>
    </row>
    <row r="511" ht="15" customHeight="1" thickBot="1">
      <c r="A511" s="160">
        <f t="shared" si="7"/>
        <v>126</v>
      </c>
    </row>
    <row r="512" ht="15" customHeight="1" thickBot="1">
      <c r="A512" s="160">
        <f t="shared" si="7"/>
        <v>125</v>
      </c>
    </row>
    <row r="513" ht="15" customHeight="1" thickBot="1">
      <c r="A513" s="160">
        <f t="shared" si="7"/>
        <v>124</v>
      </c>
    </row>
    <row r="514" ht="15" customHeight="1" thickBot="1">
      <c r="A514" s="160">
        <f t="shared" si="7"/>
        <v>123</v>
      </c>
    </row>
    <row r="515" ht="15" customHeight="1" thickBot="1">
      <c r="A515" s="160">
        <f t="shared" si="7"/>
        <v>122</v>
      </c>
    </row>
    <row r="516" ht="15" customHeight="1" thickBot="1">
      <c r="A516" s="160">
        <f t="shared" si="7"/>
        <v>121</v>
      </c>
    </row>
    <row r="517" ht="15" customHeight="1" thickBot="1">
      <c r="A517" s="160">
        <f t="shared" si="7"/>
        <v>120</v>
      </c>
    </row>
    <row r="518" ht="15" customHeight="1" thickBot="1">
      <c r="A518" s="160">
        <f t="shared" si="7"/>
        <v>119</v>
      </c>
    </row>
    <row r="519" ht="15" customHeight="1" thickBot="1">
      <c r="A519" s="160">
        <f aca="true" t="shared" si="8" ref="A519:A582">IF(ISTEXT(D520),1,1+A520)</f>
        <v>118</v>
      </c>
    </row>
    <row r="520" ht="15" customHeight="1" thickBot="1">
      <c r="A520" s="160">
        <f t="shared" si="8"/>
        <v>117</v>
      </c>
    </row>
    <row r="521" ht="15" customHeight="1" thickBot="1">
      <c r="A521" s="160">
        <f t="shared" si="8"/>
        <v>116</v>
      </c>
    </row>
    <row r="522" ht="15" customHeight="1" thickBot="1">
      <c r="A522" s="160">
        <f t="shared" si="8"/>
        <v>115</v>
      </c>
    </row>
    <row r="523" ht="15" customHeight="1" thickBot="1">
      <c r="A523" s="160">
        <f t="shared" si="8"/>
        <v>114</v>
      </c>
    </row>
    <row r="524" ht="15" customHeight="1" thickBot="1">
      <c r="A524" s="160">
        <f t="shared" si="8"/>
        <v>113</v>
      </c>
    </row>
    <row r="525" ht="15" customHeight="1" thickBot="1">
      <c r="A525" s="160">
        <f t="shared" si="8"/>
        <v>112</v>
      </c>
    </row>
    <row r="526" ht="15" customHeight="1" thickBot="1">
      <c r="A526" s="160">
        <f t="shared" si="8"/>
        <v>111</v>
      </c>
    </row>
    <row r="527" ht="15" customHeight="1" thickBot="1">
      <c r="A527" s="160">
        <f t="shared" si="8"/>
        <v>110</v>
      </c>
    </row>
    <row r="528" ht="15" customHeight="1" thickBot="1">
      <c r="A528" s="160">
        <f t="shared" si="8"/>
        <v>109</v>
      </c>
    </row>
    <row r="529" ht="15" customHeight="1" thickBot="1">
      <c r="A529" s="160">
        <f t="shared" si="8"/>
        <v>108</v>
      </c>
    </row>
    <row r="530" ht="15" customHeight="1" thickBot="1">
      <c r="A530" s="160">
        <f t="shared" si="8"/>
        <v>107</v>
      </c>
    </row>
    <row r="531" ht="15" customHeight="1" thickBot="1">
      <c r="A531" s="160">
        <f t="shared" si="8"/>
        <v>106</v>
      </c>
    </row>
    <row r="532" ht="15" customHeight="1" thickBot="1">
      <c r="A532" s="160">
        <f t="shared" si="8"/>
        <v>105</v>
      </c>
    </row>
    <row r="533" ht="15" customHeight="1" thickBot="1">
      <c r="A533" s="160">
        <f t="shared" si="8"/>
        <v>104</v>
      </c>
    </row>
    <row r="534" ht="15" customHeight="1" thickBot="1">
      <c r="A534" s="160">
        <f t="shared" si="8"/>
        <v>103</v>
      </c>
    </row>
    <row r="535" ht="15" customHeight="1" thickBot="1">
      <c r="A535" s="160">
        <f t="shared" si="8"/>
        <v>102</v>
      </c>
    </row>
    <row r="536" ht="15" customHeight="1" thickBot="1">
      <c r="A536" s="160">
        <f t="shared" si="8"/>
        <v>101</v>
      </c>
    </row>
    <row r="537" ht="15" customHeight="1" thickBot="1">
      <c r="A537" s="160">
        <f t="shared" si="8"/>
        <v>100</v>
      </c>
    </row>
    <row r="538" ht="15" customHeight="1" thickBot="1">
      <c r="A538" s="160">
        <f t="shared" si="8"/>
        <v>99</v>
      </c>
    </row>
    <row r="539" ht="15" customHeight="1" thickBot="1">
      <c r="A539" s="160">
        <f t="shared" si="8"/>
        <v>98</v>
      </c>
    </row>
    <row r="540" ht="15" customHeight="1" thickBot="1">
      <c r="A540" s="160">
        <f t="shared" si="8"/>
        <v>97</v>
      </c>
    </row>
    <row r="541" ht="15" customHeight="1" thickBot="1">
      <c r="A541" s="160">
        <f t="shared" si="8"/>
        <v>96</v>
      </c>
    </row>
    <row r="542" ht="15" customHeight="1" thickBot="1">
      <c r="A542" s="160">
        <f t="shared" si="8"/>
        <v>95</v>
      </c>
    </row>
    <row r="543" ht="15" customHeight="1" thickBot="1">
      <c r="A543" s="160">
        <f t="shared" si="8"/>
        <v>94</v>
      </c>
    </row>
    <row r="544" ht="15" customHeight="1" thickBot="1">
      <c r="A544" s="160">
        <f t="shared" si="8"/>
        <v>93</v>
      </c>
    </row>
    <row r="545" ht="15" customHeight="1" thickBot="1">
      <c r="A545" s="160">
        <f t="shared" si="8"/>
        <v>92</v>
      </c>
    </row>
    <row r="546" ht="15" customHeight="1" thickBot="1">
      <c r="A546" s="160">
        <f t="shared" si="8"/>
        <v>91</v>
      </c>
    </row>
    <row r="547" ht="15" customHeight="1" thickBot="1">
      <c r="A547" s="160">
        <f t="shared" si="8"/>
        <v>90</v>
      </c>
    </row>
    <row r="548" ht="15" customHeight="1" thickBot="1">
      <c r="A548" s="160">
        <f t="shared" si="8"/>
        <v>89</v>
      </c>
    </row>
    <row r="549" ht="15" customHeight="1" thickBot="1">
      <c r="A549" s="160">
        <f t="shared" si="8"/>
        <v>88</v>
      </c>
    </row>
    <row r="550" ht="15" customHeight="1" thickBot="1">
      <c r="A550" s="160">
        <f t="shared" si="8"/>
        <v>87</v>
      </c>
    </row>
    <row r="551" ht="15" customHeight="1" thickBot="1">
      <c r="A551" s="160">
        <f t="shared" si="8"/>
        <v>86</v>
      </c>
    </row>
    <row r="552" ht="15" customHeight="1" thickBot="1">
      <c r="A552" s="160">
        <f t="shared" si="8"/>
        <v>85</v>
      </c>
    </row>
    <row r="553" ht="15" customHeight="1" thickBot="1">
      <c r="A553" s="160">
        <f t="shared" si="8"/>
        <v>84</v>
      </c>
    </row>
    <row r="554" ht="15" customHeight="1" thickBot="1">
      <c r="A554" s="160">
        <f t="shared" si="8"/>
        <v>83</v>
      </c>
    </row>
    <row r="555" ht="15" customHeight="1" thickBot="1">
      <c r="A555" s="160">
        <f t="shared" si="8"/>
        <v>82</v>
      </c>
    </row>
    <row r="556" ht="15" customHeight="1" thickBot="1">
      <c r="A556" s="160">
        <f t="shared" si="8"/>
        <v>81</v>
      </c>
    </row>
    <row r="557" ht="15" customHeight="1" thickBot="1">
      <c r="A557" s="160">
        <f t="shared" si="8"/>
        <v>80</v>
      </c>
    </row>
    <row r="558" ht="15" customHeight="1" thickBot="1">
      <c r="A558" s="160">
        <f t="shared" si="8"/>
        <v>79</v>
      </c>
    </row>
    <row r="559" ht="15" customHeight="1" thickBot="1">
      <c r="A559" s="160">
        <f t="shared" si="8"/>
        <v>78</v>
      </c>
    </row>
    <row r="560" ht="15" customHeight="1" thickBot="1">
      <c r="A560" s="160">
        <f t="shared" si="8"/>
        <v>77</v>
      </c>
    </row>
    <row r="561" ht="15" customHeight="1" thickBot="1">
      <c r="A561" s="160">
        <f t="shared" si="8"/>
        <v>76</v>
      </c>
    </row>
    <row r="562" ht="15" customHeight="1" thickBot="1">
      <c r="A562" s="160">
        <f t="shared" si="8"/>
        <v>75</v>
      </c>
    </row>
    <row r="563" ht="15" customHeight="1" thickBot="1">
      <c r="A563" s="160">
        <f t="shared" si="8"/>
        <v>74</v>
      </c>
    </row>
    <row r="564" ht="15" customHeight="1" thickBot="1">
      <c r="A564" s="160">
        <f t="shared" si="8"/>
        <v>73</v>
      </c>
    </row>
    <row r="565" ht="15" customHeight="1" thickBot="1">
      <c r="A565" s="160">
        <f t="shared" si="8"/>
        <v>72</v>
      </c>
    </row>
    <row r="566" ht="15" customHeight="1" thickBot="1">
      <c r="A566" s="160">
        <f t="shared" si="8"/>
        <v>71</v>
      </c>
    </row>
    <row r="567" ht="15" customHeight="1" thickBot="1">
      <c r="A567" s="160">
        <f t="shared" si="8"/>
        <v>70</v>
      </c>
    </row>
    <row r="568" ht="15" customHeight="1" thickBot="1">
      <c r="A568" s="160">
        <f t="shared" si="8"/>
        <v>69</v>
      </c>
    </row>
    <row r="569" ht="15" customHeight="1" thickBot="1">
      <c r="A569" s="160">
        <f t="shared" si="8"/>
        <v>68</v>
      </c>
    </row>
    <row r="570" ht="15" customHeight="1" thickBot="1">
      <c r="A570" s="160">
        <f t="shared" si="8"/>
        <v>67</v>
      </c>
    </row>
    <row r="571" ht="15" customHeight="1" thickBot="1">
      <c r="A571" s="160">
        <f t="shared" si="8"/>
        <v>66</v>
      </c>
    </row>
    <row r="572" ht="15" customHeight="1" thickBot="1">
      <c r="A572" s="160">
        <f t="shared" si="8"/>
        <v>65</v>
      </c>
    </row>
    <row r="573" ht="15" customHeight="1" thickBot="1">
      <c r="A573" s="160">
        <f t="shared" si="8"/>
        <v>64</v>
      </c>
    </row>
    <row r="574" ht="15" customHeight="1" thickBot="1">
      <c r="A574" s="160">
        <f t="shared" si="8"/>
        <v>63</v>
      </c>
    </row>
    <row r="575" ht="15" customHeight="1" thickBot="1">
      <c r="A575" s="160">
        <f t="shared" si="8"/>
        <v>62</v>
      </c>
    </row>
    <row r="576" ht="15" customHeight="1" thickBot="1">
      <c r="A576" s="160">
        <f t="shared" si="8"/>
        <v>61</v>
      </c>
    </row>
    <row r="577" ht="15" customHeight="1" thickBot="1">
      <c r="A577" s="160">
        <f t="shared" si="8"/>
        <v>60</v>
      </c>
    </row>
    <row r="578" ht="15" customHeight="1" thickBot="1">
      <c r="A578" s="160">
        <f t="shared" si="8"/>
        <v>59</v>
      </c>
    </row>
    <row r="579" ht="15" customHeight="1" thickBot="1">
      <c r="A579" s="160">
        <f t="shared" si="8"/>
        <v>58</v>
      </c>
    </row>
    <row r="580" ht="15" customHeight="1" thickBot="1">
      <c r="A580" s="160">
        <f t="shared" si="8"/>
        <v>57</v>
      </c>
    </row>
    <row r="581" ht="15" customHeight="1" thickBot="1">
      <c r="A581" s="160">
        <f t="shared" si="8"/>
        <v>56</v>
      </c>
    </row>
    <row r="582" ht="15" customHeight="1" thickBot="1">
      <c r="A582" s="160">
        <f t="shared" si="8"/>
        <v>55</v>
      </c>
    </row>
    <row r="583" ht="15" customHeight="1" thickBot="1">
      <c r="A583" s="160">
        <f aca="true" t="shared" si="9" ref="A583:A600">IF(ISTEXT(D584),1,1+A584)</f>
        <v>54</v>
      </c>
    </row>
    <row r="584" ht="15" customHeight="1" thickBot="1">
      <c r="A584" s="160">
        <f t="shared" si="9"/>
        <v>53</v>
      </c>
    </row>
    <row r="585" ht="15" customHeight="1" thickBot="1">
      <c r="A585" s="160">
        <f t="shared" si="9"/>
        <v>52</v>
      </c>
    </row>
    <row r="586" ht="15" customHeight="1" thickBot="1">
      <c r="A586" s="160">
        <f t="shared" si="9"/>
        <v>51</v>
      </c>
    </row>
    <row r="587" ht="15" customHeight="1" thickBot="1">
      <c r="A587" s="160">
        <f t="shared" si="9"/>
        <v>50</v>
      </c>
    </row>
    <row r="588" ht="15" customHeight="1" thickBot="1">
      <c r="A588" s="160">
        <f t="shared" si="9"/>
        <v>49</v>
      </c>
    </row>
    <row r="589" ht="15" customHeight="1" thickBot="1">
      <c r="A589" s="160">
        <f t="shared" si="9"/>
        <v>48</v>
      </c>
    </row>
    <row r="590" ht="15" customHeight="1" thickBot="1">
      <c r="A590" s="160">
        <f t="shared" si="9"/>
        <v>47</v>
      </c>
    </row>
    <row r="591" ht="15" customHeight="1" thickBot="1">
      <c r="A591" s="160">
        <f t="shared" si="9"/>
        <v>46</v>
      </c>
    </row>
    <row r="592" ht="15" customHeight="1" thickBot="1">
      <c r="A592" s="160">
        <f t="shared" si="9"/>
        <v>45</v>
      </c>
    </row>
    <row r="593" ht="15" customHeight="1" thickBot="1">
      <c r="A593" s="160">
        <f t="shared" si="9"/>
        <v>44</v>
      </c>
    </row>
    <row r="594" ht="15" customHeight="1" thickBot="1">
      <c r="A594" s="160">
        <f t="shared" si="9"/>
        <v>43</v>
      </c>
    </row>
    <row r="595" ht="15" customHeight="1" thickBot="1">
      <c r="A595" s="160">
        <f t="shared" si="9"/>
        <v>42</v>
      </c>
    </row>
    <row r="596" ht="15" customHeight="1" thickBot="1">
      <c r="A596" s="160">
        <f t="shared" si="9"/>
        <v>41</v>
      </c>
    </row>
    <row r="597" ht="15" customHeight="1" thickBot="1">
      <c r="A597" s="160">
        <f t="shared" si="9"/>
        <v>40</v>
      </c>
    </row>
    <row r="598" ht="15" customHeight="1" thickBot="1">
      <c r="A598" s="160">
        <f t="shared" si="9"/>
        <v>39</v>
      </c>
    </row>
    <row r="599" ht="15" customHeight="1" thickBot="1">
      <c r="A599" s="160">
        <f t="shared" si="9"/>
        <v>38</v>
      </c>
    </row>
    <row r="600" ht="15" customHeight="1" thickBot="1">
      <c r="A600" s="160">
        <f t="shared" si="9"/>
        <v>37</v>
      </c>
    </row>
    <row r="601" ht="15" customHeight="1" thickBot="1">
      <c r="A601" s="160">
        <f>IF(ISTEXT(D602),1,1+A602)</f>
        <v>36</v>
      </c>
    </row>
    <row r="602" ht="15" customHeight="1" thickBot="1">
      <c r="A602" s="160">
        <f>IF(ISTEXT(D603),1,1+A603)</f>
        <v>35</v>
      </c>
    </row>
    <row r="603" ht="15" customHeight="1" thickBot="1">
      <c r="A603" s="160">
        <f>IF(ISTEXT(D604),1,1+A604)</f>
        <v>34</v>
      </c>
    </row>
    <row r="604" ht="15" customHeight="1" thickBot="1">
      <c r="A604" s="160">
        <f aca="true" t="shared" si="10" ref="A604:A617">IF(ISTEXT(D605),1,1+A605)</f>
        <v>33</v>
      </c>
    </row>
    <row r="605" ht="15" customHeight="1" thickBot="1">
      <c r="A605" s="160">
        <f t="shared" si="10"/>
        <v>32</v>
      </c>
    </row>
    <row r="606" ht="15" customHeight="1" thickBot="1">
      <c r="A606" s="160">
        <f t="shared" si="10"/>
        <v>31</v>
      </c>
    </row>
    <row r="607" ht="15" customHeight="1" thickBot="1">
      <c r="A607" s="160">
        <f t="shared" si="10"/>
        <v>30</v>
      </c>
    </row>
    <row r="608" ht="15" customHeight="1" thickBot="1">
      <c r="A608" s="160">
        <f t="shared" si="10"/>
        <v>29</v>
      </c>
    </row>
    <row r="609" ht="15" customHeight="1" thickBot="1">
      <c r="A609" s="160">
        <f t="shared" si="10"/>
        <v>28</v>
      </c>
    </row>
    <row r="610" ht="15" customHeight="1" thickBot="1">
      <c r="A610" s="160">
        <f t="shared" si="10"/>
        <v>27</v>
      </c>
    </row>
    <row r="611" ht="15" customHeight="1" thickBot="1">
      <c r="A611" s="160">
        <f t="shared" si="10"/>
        <v>26</v>
      </c>
    </row>
    <row r="612" ht="15" customHeight="1" thickBot="1">
      <c r="A612" s="160">
        <f t="shared" si="10"/>
        <v>25</v>
      </c>
    </row>
    <row r="613" ht="15" customHeight="1" thickBot="1">
      <c r="A613" s="160">
        <f t="shared" si="10"/>
        <v>24</v>
      </c>
    </row>
    <row r="614" ht="15" customHeight="1" thickBot="1">
      <c r="A614" s="160">
        <f t="shared" si="10"/>
        <v>23</v>
      </c>
    </row>
    <row r="615" ht="15" customHeight="1" thickBot="1">
      <c r="A615" s="160">
        <f t="shared" si="10"/>
        <v>22</v>
      </c>
    </row>
    <row r="616" ht="15" customHeight="1" thickBot="1">
      <c r="A616" s="160">
        <f t="shared" si="10"/>
        <v>21</v>
      </c>
    </row>
    <row r="617" ht="15" customHeight="1" thickBot="1">
      <c r="A617" s="160">
        <f t="shared" si="10"/>
        <v>20</v>
      </c>
    </row>
    <row r="618" ht="15" customHeight="1" thickBot="1">
      <c r="A618" s="160">
        <f aca="true" t="shared" si="11" ref="A618:A631">IF(ISTEXT(D619),1,1+A619)</f>
        <v>19</v>
      </c>
    </row>
    <row r="619" ht="15" customHeight="1" thickBot="1">
      <c r="A619" s="160">
        <f t="shared" si="11"/>
        <v>18</v>
      </c>
    </row>
    <row r="620" ht="15" customHeight="1" thickBot="1">
      <c r="A620" s="160">
        <f t="shared" si="11"/>
        <v>17</v>
      </c>
    </row>
    <row r="621" ht="15" customHeight="1" thickBot="1">
      <c r="A621" s="160">
        <f t="shared" si="11"/>
        <v>16</v>
      </c>
    </row>
    <row r="622" ht="15" customHeight="1" thickBot="1">
      <c r="A622" s="160">
        <f t="shared" si="11"/>
        <v>15</v>
      </c>
    </row>
    <row r="623" ht="15" customHeight="1" thickBot="1">
      <c r="A623" s="160">
        <f t="shared" si="11"/>
        <v>14</v>
      </c>
    </row>
    <row r="624" ht="15" customHeight="1" thickBot="1">
      <c r="A624" s="160">
        <f t="shared" si="11"/>
        <v>13</v>
      </c>
    </row>
    <row r="625" ht="15" customHeight="1" thickBot="1">
      <c r="A625" s="160">
        <f t="shared" si="11"/>
        <v>12</v>
      </c>
    </row>
    <row r="626" ht="15" customHeight="1" thickBot="1">
      <c r="A626" s="160">
        <f t="shared" si="11"/>
        <v>11</v>
      </c>
    </row>
    <row r="627" ht="15" customHeight="1" thickBot="1">
      <c r="A627" s="160">
        <f t="shared" si="11"/>
        <v>10</v>
      </c>
    </row>
    <row r="628" ht="15" customHeight="1" thickBot="1">
      <c r="A628" s="160">
        <f t="shared" si="11"/>
        <v>9</v>
      </c>
    </row>
    <row r="629" ht="15" customHeight="1" thickBot="1">
      <c r="A629" s="160">
        <f t="shared" si="11"/>
        <v>8</v>
      </c>
    </row>
    <row r="630" ht="15" customHeight="1" thickBot="1">
      <c r="A630" s="160">
        <f t="shared" si="11"/>
        <v>7</v>
      </c>
    </row>
    <row r="631" ht="15" customHeight="1" thickBot="1">
      <c r="A631" s="160">
        <f t="shared" si="11"/>
        <v>6</v>
      </c>
    </row>
    <row r="632" ht="15" customHeight="1" thickBot="1">
      <c r="A632" s="160">
        <f>IF(ISTEXT(D633),1,1+A633)</f>
        <v>5</v>
      </c>
    </row>
    <row r="633" ht="15" customHeight="1" thickBot="1">
      <c r="A633" s="160">
        <f>IF(ISTEXT(D634),1,1+A634)</f>
        <v>4</v>
      </c>
    </row>
    <row r="634" ht="15" customHeight="1" thickBot="1">
      <c r="A634" s="160">
        <f>IF(ISTEXT(D635),1,1+A635)</f>
        <v>3</v>
      </c>
    </row>
    <row r="635" ht="15" customHeight="1" thickBot="1">
      <c r="A635" s="160">
        <f>IF(ISTEXT(D636),1,1+A636)</f>
        <v>2</v>
      </c>
    </row>
    <row r="636" ht="15" customHeight="1" thickBot="1">
      <c r="A636" s="160">
        <f>IF(ISTEXT(D637),1,1+A637)</f>
        <v>1</v>
      </c>
    </row>
  </sheetData>
  <sheetProtection sheet="1" selectLockedCells="1" selectUnlockedCells="1"/>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K604"/>
  <sheetViews>
    <sheetView zoomScale="85" zoomScaleNormal="85" workbookViewId="0" topLeftCell="C3">
      <pane ySplit="8" topLeftCell="BM11" activePane="bottomLeft" state="frozen"/>
      <selection pane="topLeft" activeCell="C3" sqref="C3"/>
      <selection pane="bottomLeft" activeCell="E11" sqref="E11"/>
    </sheetView>
  </sheetViews>
  <sheetFormatPr defaultColWidth="9.140625" defaultRowHeight="12.75"/>
  <cols>
    <col min="1" max="1" width="11.140625" style="42" hidden="1" customWidth="1"/>
    <col min="2" max="2" width="11.140625" style="17" hidden="1" customWidth="1"/>
    <col min="3" max="3" width="3.57421875" style="17" customWidth="1"/>
    <col min="4" max="4" width="0.9921875" style="17" customWidth="1"/>
    <col min="5" max="5" width="24.00390625" style="17" customWidth="1"/>
    <col min="6" max="6" width="12.00390625" style="348" customWidth="1"/>
    <col min="7" max="7" width="10.421875" style="17" customWidth="1"/>
    <col min="8" max="8" width="10.57421875" style="17" customWidth="1"/>
    <col min="9" max="9" width="9.140625" style="17" customWidth="1"/>
    <col min="10" max="10" width="9.57421875" style="17" customWidth="1"/>
    <col min="11" max="11" width="14.00390625" style="348" customWidth="1"/>
    <col min="12" max="12" width="11.00390625" style="17" customWidth="1"/>
    <col min="13" max="13" width="10.00390625" style="17" customWidth="1"/>
    <col min="14" max="14" width="15.140625" style="85" customWidth="1"/>
    <col min="15" max="15" width="1.28515625" style="17" customWidth="1"/>
    <col min="16" max="16" width="14.421875" style="17" customWidth="1"/>
    <col min="17" max="16384" width="9.140625" style="17" customWidth="1"/>
  </cols>
  <sheetData>
    <row r="1" spans="1:37" s="243" customFormat="1" ht="4.5" customHeight="1" hidden="1">
      <c r="A1" s="94"/>
      <c r="B1" s="94"/>
      <c r="C1" s="94"/>
      <c r="D1" s="94"/>
      <c r="E1" s="94"/>
      <c r="F1" s="335"/>
      <c r="G1" s="94"/>
      <c r="H1" s="94"/>
      <c r="I1" s="94"/>
      <c r="J1" s="94"/>
      <c r="K1" s="335"/>
      <c r="L1" s="94"/>
      <c r="M1" s="94"/>
      <c r="N1" s="95"/>
      <c r="O1" s="94"/>
      <c r="P1" s="94"/>
      <c r="Q1" s="94"/>
      <c r="R1" s="94"/>
      <c r="S1" s="94"/>
      <c r="T1" s="94"/>
      <c r="U1" s="94"/>
      <c r="V1" s="94"/>
      <c r="W1" s="94"/>
      <c r="X1" s="94"/>
      <c r="Y1" s="94"/>
      <c r="Z1" s="94"/>
      <c r="AA1" s="94"/>
      <c r="AB1" s="94"/>
      <c r="AC1" s="94"/>
      <c r="AD1" s="94"/>
      <c r="AE1" s="94"/>
      <c r="AF1" s="94"/>
      <c r="AG1" s="94"/>
      <c r="AH1" s="94"/>
      <c r="AI1" s="94"/>
      <c r="AJ1" s="94"/>
      <c r="AK1" s="94"/>
    </row>
    <row r="2" spans="1:37" s="243" customFormat="1" ht="15.75" customHeight="1" hidden="1">
      <c r="A2" s="94"/>
      <c r="B2" s="94"/>
      <c r="C2" s="94"/>
      <c r="D2" s="94"/>
      <c r="E2" s="94"/>
      <c r="F2" s="336"/>
      <c r="G2" s="151"/>
      <c r="H2" s="151"/>
      <c r="I2" s="151"/>
      <c r="J2" s="151"/>
      <c r="K2" s="336"/>
      <c r="L2" s="151"/>
      <c r="M2" s="151"/>
      <c r="N2" s="152"/>
      <c r="O2" s="94"/>
      <c r="P2" s="94"/>
      <c r="Q2" s="94"/>
      <c r="R2" s="94"/>
      <c r="S2" s="94"/>
      <c r="T2" s="94"/>
      <c r="U2" s="94"/>
      <c r="V2" s="94"/>
      <c r="W2" s="94"/>
      <c r="X2" s="94"/>
      <c r="Y2" s="94"/>
      <c r="Z2" s="94"/>
      <c r="AA2" s="94"/>
      <c r="AB2" s="94"/>
      <c r="AC2" s="94"/>
      <c r="AD2" s="94"/>
      <c r="AE2" s="94"/>
      <c r="AF2" s="94"/>
      <c r="AG2" s="94"/>
      <c r="AH2" s="94"/>
      <c r="AI2" s="94"/>
      <c r="AJ2" s="94"/>
      <c r="AK2" s="94"/>
    </row>
    <row r="3" spans="1:37" s="244" customFormat="1" ht="6" customHeight="1" thickBot="1">
      <c r="A3" s="151"/>
      <c r="B3" s="151"/>
      <c r="C3" s="151"/>
      <c r="D3" s="151"/>
      <c r="E3" s="151"/>
      <c r="F3" s="336"/>
      <c r="G3" s="151"/>
      <c r="H3" s="151"/>
      <c r="I3" s="151"/>
      <c r="J3" s="151"/>
      <c r="K3" s="336"/>
      <c r="L3" s="151"/>
      <c r="M3" s="151"/>
      <c r="N3" s="152"/>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1:37" s="154" customFormat="1" ht="21.75" customHeight="1" thickBot="1">
      <c r="A4" s="153"/>
      <c r="B4" s="153"/>
      <c r="C4" s="172" t="s">
        <v>912</v>
      </c>
      <c r="D4" s="173"/>
      <c r="E4" s="173"/>
      <c r="F4" s="720"/>
      <c r="G4" s="153"/>
      <c r="H4" s="147"/>
      <c r="I4" s="147"/>
      <c r="J4" s="147"/>
      <c r="K4" s="337"/>
      <c r="L4" s="147"/>
      <c r="M4" s="147"/>
      <c r="N4" s="174"/>
      <c r="O4" s="147"/>
      <c r="P4" s="777">
        <f>IF(AND(P7&gt;0,P9&gt;0),"Enter mpg OR l/100km, not both!","")</f>
      </c>
      <c r="Q4" s="153"/>
      <c r="R4" s="153"/>
      <c r="S4" s="153"/>
      <c r="T4" s="153"/>
      <c r="U4" s="153"/>
      <c r="V4" s="153"/>
      <c r="W4" s="153"/>
      <c r="X4" s="153"/>
      <c r="Y4" s="153"/>
      <c r="Z4" s="153"/>
      <c r="AA4" s="153"/>
      <c r="AB4" s="153"/>
      <c r="AC4" s="153"/>
      <c r="AD4" s="153"/>
      <c r="AE4" s="153"/>
      <c r="AF4" s="153"/>
      <c r="AG4" s="153"/>
      <c r="AH4" s="153"/>
      <c r="AI4" s="153"/>
      <c r="AJ4" s="153"/>
      <c r="AK4" s="153"/>
    </row>
    <row r="5" spans="1:37" s="171" customFormat="1" ht="12.75" customHeight="1" thickBot="1">
      <c r="A5" s="167"/>
      <c r="B5" s="167"/>
      <c r="C5" s="248" t="s">
        <v>726</v>
      </c>
      <c r="D5" s="167"/>
      <c r="E5" s="168"/>
      <c r="F5" s="721"/>
      <c r="G5" s="169"/>
      <c r="H5" s="169"/>
      <c r="I5" s="169"/>
      <c r="J5" s="169"/>
      <c r="K5" s="338"/>
      <c r="L5" s="169"/>
      <c r="M5" s="169"/>
      <c r="N5" s="170"/>
      <c r="O5" s="167"/>
      <c r="P5" s="778" t="s">
        <v>722</v>
      </c>
      <c r="Q5" s="779"/>
      <c r="R5" s="780"/>
      <c r="S5" s="169"/>
      <c r="T5" s="169"/>
      <c r="U5" s="169"/>
      <c r="V5" s="169"/>
      <c r="W5" s="169"/>
      <c r="X5" s="169"/>
      <c r="Y5" s="169"/>
      <c r="Z5" s="169"/>
      <c r="AA5" s="169"/>
      <c r="AB5" s="169"/>
      <c r="AC5" s="169"/>
      <c r="AD5" s="169"/>
      <c r="AE5" s="167"/>
      <c r="AF5" s="167"/>
      <c r="AG5" s="167"/>
      <c r="AH5" s="167"/>
      <c r="AI5" s="167"/>
      <c r="AJ5" s="167"/>
      <c r="AK5" s="167"/>
    </row>
    <row r="6" spans="1:30" s="263" customFormat="1" ht="14.25" customHeight="1" thickBot="1">
      <c r="A6" s="93">
        <f aca="true" t="shared" si="0" ref="A6:A73">IF(ISTEXT(D7),1,1+A7)</f>
        <v>5</v>
      </c>
      <c r="C6" s="264"/>
      <c r="D6" s="264"/>
      <c r="E6" s="263" t="s">
        <v>23</v>
      </c>
      <c r="F6" s="722" t="s">
        <v>24</v>
      </c>
      <c r="G6" s="264" t="s">
        <v>25</v>
      </c>
      <c r="H6" s="263" t="s">
        <v>26</v>
      </c>
      <c r="I6" s="265" t="s">
        <v>27</v>
      </c>
      <c r="J6" s="265" t="s">
        <v>28</v>
      </c>
      <c r="K6" s="339" t="s">
        <v>29</v>
      </c>
      <c r="L6" s="265" t="s">
        <v>30</v>
      </c>
      <c r="M6" s="265" t="s">
        <v>31</v>
      </c>
      <c r="N6" s="266" t="s">
        <v>32</v>
      </c>
      <c r="P6" s="785">
        <v>1000</v>
      </c>
      <c r="Q6" s="776" t="s">
        <v>723</v>
      </c>
      <c r="R6" s="781"/>
      <c r="S6" s="264"/>
      <c r="T6" s="264"/>
      <c r="U6" s="264"/>
      <c r="V6" s="264"/>
      <c r="W6" s="264"/>
      <c r="X6" s="264"/>
      <c r="Y6" s="264"/>
      <c r="Z6" s="264"/>
      <c r="AA6" s="264"/>
      <c r="AB6" s="264"/>
      <c r="AC6" s="264"/>
      <c r="AD6" s="264"/>
    </row>
    <row r="7" spans="1:30" s="267" customFormat="1" ht="12.75" thickBot="1">
      <c r="A7" s="93">
        <f t="shared" si="0"/>
        <v>4</v>
      </c>
      <c r="C7" s="268"/>
      <c r="D7" s="268"/>
      <c r="E7" s="268"/>
      <c r="F7" s="723" t="s">
        <v>4</v>
      </c>
      <c r="G7" s="269"/>
      <c r="H7" s="255"/>
      <c r="I7" s="254" t="s">
        <v>33</v>
      </c>
      <c r="J7" s="269"/>
      <c r="K7" s="340"/>
      <c r="L7" s="254" t="s">
        <v>34</v>
      </c>
      <c r="M7" s="255"/>
      <c r="N7" s="270" t="s">
        <v>38</v>
      </c>
      <c r="O7" s="253"/>
      <c r="P7" s="786">
        <v>0</v>
      </c>
      <c r="Q7" s="776" t="s">
        <v>724</v>
      </c>
      <c r="R7" s="781"/>
      <c r="S7" s="268"/>
      <c r="T7" s="268"/>
      <c r="U7" s="268"/>
      <c r="V7" s="268"/>
      <c r="W7" s="268"/>
      <c r="X7" s="268"/>
      <c r="Y7" s="268"/>
      <c r="Z7" s="268"/>
      <c r="AA7" s="268"/>
      <c r="AB7" s="268"/>
      <c r="AC7" s="268"/>
      <c r="AD7" s="268"/>
    </row>
    <row r="8" spans="1:30" s="267" customFormat="1" ht="12.75" thickBot="1">
      <c r="A8" s="93">
        <f t="shared" si="0"/>
        <v>3</v>
      </c>
      <c r="C8" s="268"/>
      <c r="D8" s="268"/>
      <c r="E8" s="271"/>
      <c r="F8" s="724"/>
      <c r="G8" s="272" t="s">
        <v>39</v>
      </c>
      <c r="H8" s="272"/>
      <c r="I8" s="254" t="s">
        <v>40</v>
      </c>
      <c r="J8" s="255"/>
      <c r="K8" s="341" t="s">
        <v>41</v>
      </c>
      <c r="L8" s="254" t="s">
        <v>42</v>
      </c>
      <c r="M8" s="255"/>
      <c r="N8" s="270" t="s">
        <v>882</v>
      </c>
      <c r="O8" s="253"/>
      <c r="P8" s="782"/>
      <c r="Q8" s="776" t="s">
        <v>725</v>
      </c>
      <c r="R8" s="781"/>
      <c r="S8" s="268"/>
      <c r="T8" s="268"/>
      <c r="U8" s="268"/>
      <c r="V8" s="268"/>
      <c r="W8" s="268"/>
      <c r="X8" s="268"/>
      <c r="Y8" s="268"/>
      <c r="Z8" s="268"/>
      <c r="AA8" s="268"/>
      <c r="AB8" s="268"/>
      <c r="AC8" s="268"/>
      <c r="AD8" s="268"/>
    </row>
    <row r="9" spans="1:30" s="267" customFormat="1" ht="14.25" customHeight="1" thickBot="1">
      <c r="A9" s="93">
        <f t="shared" si="0"/>
        <v>2</v>
      </c>
      <c r="C9" s="268"/>
      <c r="D9" s="268"/>
      <c r="E9" s="271"/>
      <c r="F9" s="725" t="s">
        <v>44</v>
      </c>
      <c r="G9" s="256" t="s">
        <v>45</v>
      </c>
      <c r="H9" s="256" t="s">
        <v>45</v>
      </c>
      <c r="I9" s="256" t="s">
        <v>46</v>
      </c>
      <c r="J9" s="256" t="s">
        <v>47</v>
      </c>
      <c r="K9" s="341" t="s">
        <v>48</v>
      </c>
      <c r="L9" s="256" t="s">
        <v>46</v>
      </c>
      <c r="M9" s="256" t="s">
        <v>47</v>
      </c>
      <c r="N9" s="270" t="s">
        <v>49</v>
      </c>
      <c r="O9" s="253"/>
      <c r="P9" s="786">
        <v>30</v>
      </c>
      <c r="Q9" s="776" t="s">
        <v>276</v>
      </c>
      <c r="R9" s="781"/>
      <c r="S9" s="268"/>
      <c r="T9" s="268"/>
      <c r="U9" s="268"/>
      <c r="V9" s="268"/>
      <c r="W9" s="268"/>
      <c r="X9" s="268"/>
      <c r="Y9" s="268"/>
      <c r="Z9" s="268"/>
      <c r="AA9" s="268"/>
      <c r="AB9" s="268"/>
      <c r="AC9" s="268"/>
      <c r="AD9" s="268"/>
    </row>
    <row r="10" spans="1:30" s="267" customFormat="1" ht="16.5" customHeight="1" thickBot="1">
      <c r="A10" s="93">
        <f t="shared" si="0"/>
        <v>1</v>
      </c>
      <c r="E10" s="621" t="s">
        <v>50</v>
      </c>
      <c r="F10" s="725" t="s">
        <v>51</v>
      </c>
      <c r="G10" s="569" t="s">
        <v>52</v>
      </c>
      <c r="H10" s="569" t="s">
        <v>53</v>
      </c>
      <c r="I10" s="569" t="s">
        <v>54</v>
      </c>
      <c r="J10" s="569" t="s">
        <v>54</v>
      </c>
      <c r="K10" s="622" t="s">
        <v>55</v>
      </c>
      <c r="L10" s="569" t="s">
        <v>56</v>
      </c>
      <c r="M10" s="569" t="s">
        <v>57</v>
      </c>
      <c r="N10" s="451" t="s">
        <v>58</v>
      </c>
      <c r="O10" s="253"/>
      <c r="P10" s="787">
        <f>IF(AND(P7&gt;0,P9&gt;0),"Error",IF(P7&gt;0,P6/P7,P6/100*P9))</f>
        <v>300</v>
      </c>
      <c r="Q10" s="783" t="str">
        <f>IF(P7&gt;0,"Gallons used","litres used")</f>
        <v>litres used</v>
      </c>
      <c r="R10" s="784"/>
      <c r="S10" s="268"/>
      <c r="T10" s="268"/>
      <c r="U10" s="268"/>
      <c r="V10" s="268"/>
      <c r="W10" s="268"/>
      <c r="X10" s="268"/>
      <c r="Y10" s="268"/>
      <c r="Z10" s="268"/>
      <c r="AA10" s="268"/>
      <c r="AB10" s="268"/>
      <c r="AC10" s="268"/>
      <c r="AD10" s="268"/>
    </row>
    <row r="11" spans="1:18" s="134" customFormat="1" ht="20.25" customHeight="1" thickBot="1">
      <c r="A11" s="93">
        <f t="shared" si="0"/>
        <v>20</v>
      </c>
      <c r="B11" s="129"/>
      <c r="D11" s="135" t="s">
        <v>845</v>
      </c>
      <c r="F11" s="726"/>
      <c r="G11" s="136"/>
      <c r="H11" s="136"/>
      <c r="K11" s="342">
        <f ca="1">SUM(OFFSET(K13,0,0,A13,1))</f>
        <v>0</v>
      </c>
      <c r="M11" s="137"/>
      <c r="N11" s="138">
        <f ca="1">SUM(OFFSET(N13,0,0,A13,1))</f>
        <v>0</v>
      </c>
      <c r="P11" s="788">
        <f>IF(AND(P7&gt;0,P9&gt;0),"Enter mpg OR l/100km, not both!","")</f>
      </c>
      <c r="Q11" s="633"/>
      <c r="R11" s="633"/>
    </row>
    <row r="12" spans="1:30" s="86" customFormat="1" ht="15" customHeight="1" thickBot="1">
      <c r="A12" s="93">
        <f t="shared" si="0"/>
        <v>19</v>
      </c>
      <c r="B12" s="17"/>
      <c r="E12" s="623" t="s">
        <v>59</v>
      </c>
      <c r="F12" s="727">
        <v>30000</v>
      </c>
      <c r="G12" s="624" t="s">
        <v>60</v>
      </c>
      <c r="H12" s="625" t="s">
        <v>61</v>
      </c>
      <c r="I12" s="626">
        <v>0.13020400000000001</v>
      </c>
      <c r="J12" s="627"/>
      <c r="K12" s="628">
        <f aca="true" t="shared" si="1" ref="K12:K22">F12*IF(J12=0,I12,J12)</f>
        <v>3906.1200000000003</v>
      </c>
      <c r="L12" s="629">
        <v>69.25</v>
      </c>
      <c r="M12" s="627"/>
      <c r="N12" s="630">
        <f aca="true" t="shared" si="2" ref="N12:N30">K12*IF(M12=0,L12,M12)/1000</f>
        <v>270.49881</v>
      </c>
      <c r="O12" s="87"/>
      <c r="P12"/>
      <c r="Q12"/>
      <c r="R12"/>
      <c r="S12" s="126"/>
      <c r="T12" s="126"/>
      <c r="U12" s="126"/>
      <c r="V12" s="126"/>
      <c r="W12" s="126"/>
      <c r="X12" s="126"/>
      <c r="Y12" s="126"/>
      <c r="Z12" s="126"/>
      <c r="AA12" s="126"/>
      <c r="AB12" s="126"/>
      <c r="AC12" s="126"/>
      <c r="AD12" s="126"/>
    </row>
    <row r="13" spans="1:30" s="42" customFormat="1" ht="15" customHeight="1" thickBot="1">
      <c r="A13" s="93">
        <f t="shared" si="0"/>
        <v>18</v>
      </c>
      <c r="B13" s="17">
        <v>1</v>
      </c>
      <c r="E13" s="63"/>
      <c r="F13" s="728"/>
      <c r="G13" s="64" t="s">
        <v>60</v>
      </c>
      <c r="H13" s="65" t="s">
        <v>61</v>
      </c>
      <c r="I13" s="352">
        <v>0.13020400000000001</v>
      </c>
      <c r="J13" s="66"/>
      <c r="K13" s="345">
        <f t="shared" si="1"/>
        <v>0</v>
      </c>
      <c r="L13" s="355">
        <v>69.25</v>
      </c>
      <c r="M13" s="66"/>
      <c r="N13" s="80">
        <f t="shared" si="2"/>
        <v>0</v>
      </c>
      <c r="O13" s="43"/>
      <c r="P13"/>
      <c r="Q13"/>
      <c r="R13"/>
      <c r="S13" s="41"/>
      <c r="T13" s="41"/>
      <c r="U13" s="41"/>
      <c r="V13" s="41"/>
      <c r="W13" s="41"/>
      <c r="X13" s="41"/>
      <c r="Y13" s="41"/>
      <c r="Z13" s="41"/>
      <c r="AA13" s="41"/>
      <c r="AB13" s="41"/>
      <c r="AC13" s="41"/>
      <c r="AD13" s="41"/>
    </row>
    <row r="14" spans="1:30" s="42" customFormat="1" ht="15" customHeight="1" thickBot="1">
      <c r="A14" s="93">
        <f t="shared" si="0"/>
        <v>17</v>
      </c>
      <c r="B14" s="17">
        <v>1</v>
      </c>
      <c r="E14" s="465"/>
      <c r="F14" s="728"/>
      <c r="G14" s="64" t="s">
        <v>60</v>
      </c>
      <c r="H14" s="65" t="s">
        <v>61</v>
      </c>
      <c r="I14" s="352">
        <v>0.13020400000000001</v>
      </c>
      <c r="J14" s="66"/>
      <c r="K14" s="345">
        <f>F14*IF(J14=0,I14,J14)</f>
        <v>0</v>
      </c>
      <c r="L14" s="355">
        <v>69.25</v>
      </c>
      <c r="M14" s="66"/>
      <c r="N14" s="80">
        <f>K14*IF(M14=0,L14,M14)/1000</f>
        <v>0</v>
      </c>
      <c r="O14" s="43"/>
      <c r="P14"/>
      <c r="Q14"/>
      <c r="R14"/>
      <c r="S14" s="41"/>
      <c r="T14" s="41"/>
      <c r="U14" s="41"/>
      <c r="V14" s="41"/>
      <c r="W14" s="41"/>
      <c r="X14" s="41"/>
      <c r="Y14" s="41"/>
      <c r="Z14" s="41"/>
      <c r="AA14" s="41"/>
      <c r="AB14" s="41"/>
      <c r="AC14" s="41"/>
      <c r="AD14" s="41"/>
    </row>
    <row r="15" spans="1:30" s="42" customFormat="1" ht="15" customHeight="1" thickBot="1">
      <c r="A15" s="93">
        <f t="shared" si="0"/>
        <v>16</v>
      </c>
      <c r="B15" s="17">
        <v>1</v>
      </c>
      <c r="E15" s="465"/>
      <c r="F15" s="728"/>
      <c r="G15" s="64" t="s">
        <v>60</v>
      </c>
      <c r="H15" s="65" t="s">
        <v>61</v>
      </c>
      <c r="I15" s="352">
        <v>0.13020400000000001</v>
      </c>
      <c r="J15" s="66"/>
      <c r="K15" s="345">
        <f>F15*IF(J15=0,I15,J15)</f>
        <v>0</v>
      </c>
      <c r="L15" s="355">
        <v>69.25</v>
      </c>
      <c r="M15" s="66"/>
      <c r="N15" s="80">
        <f>K15*IF(M15=0,L15,M15)/1000</f>
        <v>0</v>
      </c>
      <c r="O15" s="43"/>
      <c r="P15"/>
      <c r="Q15"/>
      <c r="R15"/>
      <c r="S15" s="41"/>
      <c r="T15" s="41"/>
      <c r="U15" s="41"/>
      <c r="V15" s="41"/>
      <c r="W15" s="41"/>
      <c r="X15" s="41"/>
      <c r="Y15" s="41"/>
      <c r="Z15" s="41"/>
      <c r="AA15" s="41"/>
      <c r="AB15" s="41"/>
      <c r="AC15" s="41"/>
      <c r="AD15" s="41"/>
    </row>
    <row r="16" spans="1:30" s="42" customFormat="1" ht="15" customHeight="1" thickBot="1">
      <c r="A16" s="93">
        <f t="shared" si="0"/>
        <v>15</v>
      </c>
      <c r="B16" s="17">
        <v>1</v>
      </c>
      <c r="E16" s="465"/>
      <c r="F16" s="728"/>
      <c r="G16" s="64" t="s">
        <v>60</v>
      </c>
      <c r="H16" s="65" t="s">
        <v>61</v>
      </c>
      <c r="I16" s="352">
        <v>0.13020400000000001</v>
      </c>
      <c r="J16" s="66"/>
      <c r="K16" s="345">
        <f>F16*IF(J16=0,I16,J16)</f>
        <v>0</v>
      </c>
      <c r="L16" s="355">
        <v>69.25</v>
      </c>
      <c r="M16" s="66"/>
      <c r="N16" s="80">
        <f>K16*IF(M16=0,L16,M16)/1000</f>
        <v>0</v>
      </c>
      <c r="O16" s="43"/>
      <c r="P16"/>
      <c r="Q16"/>
      <c r="R16"/>
      <c r="S16" s="41"/>
      <c r="T16" s="41"/>
      <c r="U16" s="41"/>
      <c r="V16" s="41"/>
      <c r="W16" s="41"/>
      <c r="X16" s="41"/>
      <c r="Y16" s="41"/>
      <c r="Z16" s="41"/>
      <c r="AA16" s="41"/>
      <c r="AB16" s="41"/>
      <c r="AC16" s="41"/>
      <c r="AD16" s="41"/>
    </row>
    <row r="17" spans="1:30" s="42" customFormat="1" ht="15" customHeight="1" thickBot="1">
      <c r="A17" s="93">
        <f t="shared" si="0"/>
        <v>14</v>
      </c>
      <c r="B17" s="17">
        <v>1</v>
      </c>
      <c r="E17" s="54"/>
      <c r="F17" s="728"/>
      <c r="G17" s="55" t="s">
        <v>62</v>
      </c>
      <c r="H17" s="56" t="s">
        <v>61</v>
      </c>
      <c r="I17" s="353">
        <v>0.1563824</v>
      </c>
      <c r="J17" s="57"/>
      <c r="K17" s="343">
        <f t="shared" si="1"/>
        <v>0</v>
      </c>
      <c r="L17" s="356">
        <v>69.25</v>
      </c>
      <c r="M17" s="57"/>
      <c r="N17" s="80">
        <f t="shared" si="2"/>
        <v>0</v>
      </c>
      <c r="O17" s="43"/>
      <c r="P17"/>
      <c r="Q17"/>
      <c r="R17"/>
      <c r="S17" s="41"/>
      <c r="T17" s="41"/>
      <c r="U17" s="41"/>
      <c r="V17" s="41"/>
      <c r="W17" s="41"/>
      <c r="X17" s="41"/>
      <c r="Y17" s="41"/>
      <c r="Z17" s="41"/>
      <c r="AA17" s="41"/>
      <c r="AB17" s="41"/>
      <c r="AC17" s="41"/>
      <c r="AD17" s="41"/>
    </row>
    <row r="18" spans="1:30" s="42" customFormat="1" ht="15" customHeight="1" thickBot="1">
      <c r="A18" s="93">
        <f t="shared" si="0"/>
        <v>13</v>
      </c>
      <c r="B18" s="17">
        <v>1</v>
      </c>
      <c r="E18" s="54"/>
      <c r="F18" s="728"/>
      <c r="G18" s="55" t="s">
        <v>277</v>
      </c>
      <c r="H18" s="56" t="s">
        <v>61</v>
      </c>
      <c r="I18" s="353">
        <v>0.0344</v>
      </c>
      <c r="J18" s="57"/>
      <c r="K18" s="343">
        <f t="shared" si="1"/>
        <v>0</v>
      </c>
      <c r="L18" s="356">
        <v>69.25</v>
      </c>
      <c r="M18" s="57"/>
      <c r="N18" s="80">
        <f t="shared" si="2"/>
        <v>0</v>
      </c>
      <c r="O18" s="43"/>
      <c r="P18"/>
      <c r="Q18"/>
      <c r="R18"/>
      <c r="S18" s="41"/>
      <c r="T18" s="41"/>
      <c r="U18" s="41"/>
      <c r="V18" s="41"/>
      <c r="W18" s="41"/>
      <c r="X18" s="41"/>
      <c r="Y18" s="41"/>
      <c r="Z18" s="41"/>
      <c r="AA18" s="41"/>
      <c r="AB18" s="41"/>
      <c r="AC18" s="41"/>
      <c r="AD18" s="41"/>
    </row>
    <row r="19" spans="1:30" s="42" customFormat="1" ht="15" customHeight="1" thickBot="1">
      <c r="A19" s="93">
        <f t="shared" si="0"/>
        <v>12</v>
      </c>
      <c r="B19" s="17">
        <v>1</v>
      </c>
      <c r="E19" s="54"/>
      <c r="F19" s="728"/>
      <c r="G19" s="55" t="s">
        <v>277</v>
      </c>
      <c r="H19" s="56" t="s">
        <v>61</v>
      </c>
      <c r="I19" s="353">
        <v>0.0344</v>
      </c>
      <c r="J19" s="57"/>
      <c r="K19" s="343">
        <f>F19*IF(J19=0,I19,J19)</f>
        <v>0</v>
      </c>
      <c r="L19" s="356">
        <v>69.25</v>
      </c>
      <c r="M19" s="57"/>
      <c r="N19" s="80">
        <f>K19*IF(M19=0,L19,M19)/1000</f>
        <v>0</v>
      </c>
      <c r="O19" s="43"/>
      <c r="P19"/>
      <c r="Q19"/>
      <c r="R19"/>
      <c r="S19" s="41"/>
      <c r="T19" s="41"/>
      <c r="U19" s="41"/>
      <c r="V19" s="41"/>
      <c r="W19" s="41"/>
      <c r="X19" s="41"/>
      <c r="Y19" s="41"/>
      <c r="Z19" s="41"/>
      <c r="AA19" s="41"/>
      <c r="AB19" s="41"/>
      <c r="AC19" s="41"/>
      <c r="AD19" s="41"/>
    </row>
    <row r="20" spans="1:30" s="42" customFormat="1" ht="15" customHeight="1" thickBot="1">
      <c r="A20" s="93">
        <f t="shared" si="0"/>
        <v>11</v>
      </c>
      <c r="B20" s="17">
        <v>1</v>
      </c>
      <c r="E20" s="59"/>
      <c r="F20" s="729"/>
      <c r="G20" s="60" t="s">
        <v>572</v>
      </c>
      <c r="H20" s="61" t="s">
        <v>61</v>
      </c>
      <c r="I20" s="354">
        <v>43.56739773101807</v>
      </c>
      <c r="J20" s="62"/>
      <c r="K20" s="344">
        <f t="shared" si="1"/>
        <v>0</v>
      </c>
      <c r="L20" s="357">
        <v>69.25</v>
      </c>
      <c r="M20" s="62"/>
      <c r="N20" s="80">
        <f t="shared" si="2"/>
        <v>0</v>
      </c>
      <c r="O20" s="43"/>
      <c r="P20"/>
      <c r="Q20"/>
      <c r="R20"/>
      <c r="S20" s="41"/>
      <c r="T20" s="41"/>
      <c r="U20" s="41"/>
      <c r="V20" s="41"/>
      <c r="W20" s="41"/>
      <c r="X20" s="41"/>
      <c r="Y20" s="41"/>
      <c r="Z20" s="41"/>
      <c r="AA20" s="41"/>
      <c r="AB20" s="41"/>
      <c r="AC20" s="41"/>
      <c r="AD20" s="41"/>
    </row>
    <row r="21" spans="1:30" s="42" customFormat="1" ht="15" customHeight="1" thickBot="1">
      <c r="A21" s="93">
        <f t="shared" si="0"/>
        <v>10</v>
      </c>
      <c r="B21" s="17">
        <v>1</v>
      </c>
      <c r="E21" s="63"/>
      <c r="F21" s="730"/>
      <c r="G21" s="64" t="s">
        <v>60</v>
      </c>
      <c r="H21" s="65" t="s">
        <v>65</v>
      </c>
      <c r="I21" s="353">
        <v>0.1404235</v>
      </c>
      <c r="J21" s="66"/>
      <c r="K21" s="345">
        <f t="shared" si="1"/>
        <v>0</v>
      </c>
      <c r="L21" s="356">
        <v>74.01</v>
      </c>
      <c r="M21" s="66"/>
      <c r="N21" s="80">
        <f t="shared" si="2"/>
        <v>0</v>
      </c>
      <c r="O21" s="43"/>
      <c r="P21"/>
      <c r="Q21"/>
      <c r="R21"/>
      <c r="S21" s="41"/>
      <c r="T21" s="41"/>
      <c r="U21" s="41"/>
      <c r="V21" s="41"/>
      <c r="W21" s="41"/>
      <c r="X21" s="41"/>
      <c r="Y21" s="41"/>
      <c r="Z21" s="41"/>
      <c r="AA21" s="41"/>
      <c r="AB21" s="41"/>
      <c r="AC21" s="41"/>
      <c r="AD21" s="41"/>
    </row>
    <row r="22" spans="1:30" s="42" customFormat="1" ht="15" customHeight="1" thickBot="1">
      <c r="A22" s="93">
        <f t="shared" si="0"/>
        <v>9</v>
      </c>
      <c r="B22" s="17">
        <v>1</v>
      </c>
      <c r="E22" s="63"/>
      <c r="F22" s="730"/>
      <c r="G22" s="64" t="s">
        <v>62</v>
      </c>
      <c r="H22" s="65" t="s">
        <v>65</v>
      </c>
      <c r="I22" s="353">
        <v>0.16865660000000002</v>
      </c>
      <c r="J22" s="66"/>
      <c r="K22" s="345">
        <f t="shared" si="1"/>
        <v>0</v>
      </c>
      <c r="L22" s="356">
        <v>74.01</v>
      </c>
      <c r="M22" s="66"/>
      <c r="N22" s="80">
        <f t="shared" si="2"/>
        <v>0</v>
      </c>
      <c r="O22" s="43"/>
      <c r="P22" s="127"/>
      <c r="Q22" s="41"/>
      <c r="R22" s="41"/>
      <c r="S22" s="41"/>
      <c r="T22" s="41"/>
      <c r="U22" s="41"/>
      <c r="V22" s="41"/>
      <c r="W22" s="41"/>
      <c r="X22" s="41"/>
      <c r="Y22" s="41"/>
      <c r="Z22" s="41"/>
      <c r="AA22" s="41"/>
      <c r="AB22" s="41"/>
      <c r="AC22" s="41"/>
      <c r="AD22" s="41"/>
    </row>
    <row r="23" spans="1:30" s="42" customFormat="1" ht="15" customHeight="1" thickBot="1">
      <c r="A23" s="93">
        <f t="shared" si="0"/>
        <v>8</v>
      </c>
      <c r="B23" s="17">
        <v>1</v>
      </c>
      <c r="E23" s="54"/>
      <c r="F23" s="728"/>
      <c r="G23" s="55" t="s">
        <v>277</v>
      </c>
      <c r="H23" s="56" t="s">
        <v>65</v>
      </c>
      <c r="I23" s="353">
        <v>0.0371</v>
      </c>
      <c r="J23" s="57"/>
      <c r="K23" s="343">
        <f aca="true" t="shared" si="3" ref="K23:K30">F23*IF(J23=0,I23,J23)</f>
        <v>0</v>
      </c>
      <c r="L23" s="356">
        <v>74.01</v>
      </c>
      <c r="M23" s="57"/>
      <c r="N23" s="80">
        <f t="shared" si="2"/>
        <v>0</v>
      </c>
      <c r="O23" s="43"/>
      <c r="P23" s="127"/>
      <c r="Q23" s="41"/>
      <c r="R23" s="41"/>
      <c r="S23" s="41"/>
      <c r="T23" s="41"/>
      <c r="U23" s="41"/>
      <c r="V23" s="41"/>
      <c r="W23" s="41"/>
      <c r="X23" s="41"/>
      <c r="Y23" s="41"/>
      <c r="Z23" s="41"/>
      <c r="AA23" s="41"/>
      <c r="AB23" s="41"/>
      <c r="AC23" s="41"/>
      <c r="AD23" s="41"/>
    </row>
    <row r="24" spans="1:30" s="42" customFormat="1" ht="15" customHeight="1" thickBot="1">
      <c r="A24" s="93">
        <f t="shared" si="0"/>
        <v>7</v>
      </c>
      <c r="B24" s="17">
        <v>1</v>
      </c>
      <c r="E24" s="59"/>
      <c r="F24" s="729"/>
      <c r="G24" s="60" t="s">
        <v>572</v>
      </c>
      <c r="H24" s="61" t="s">
        <v>65</v>
      </c>
      <c r="I24" s="354">
        <v>44.16666666666667</v>
      </c>
      <c r="J24" s="62"/>
      <c r="K24" s="344">
        <f t="shared" si="3"/>
        <v>0</v>
      </c>
      <c r="L24" s="357">
        <v>74.01</v>
      </c>
      <c r="M24" s="62"/>
      <c r="N24" s="80">
        <f t="shared" si="2"/>
        <v>0</v>
      </c>
      <c r="O24" s="43"/>
      <c r="P24" s="127"/>
      <c r="Q24" s="41"/>
      <c r="R24" s="41"/>
      <c r="S24" s="41"/>
      <c r="T24" s="41"/>
      <c r="U24" s="41"/>
      <c r="V24" s="41"/>
      <c r="W24" s="41"/>
      <c r="X24" s="41"/>
      <c r="Y24" s="41"/>
      <c r="Z24" s="41"/>
      <c r="AA24" s="41"/>
      <c r="AB24" s="41"/>
      <c r="AC24" s="41"/>
      <c r="AD24" s="41"/>
    </row>
    <row r="25" spans="1:30" s="42" customFormat="1" ht="15" customHeight="1" thickBot="1">
      <c r="A25" s="93">
        <f t="shared" si="0"/>
        <v>6</v>
      </c>
      <c r="B25" s="17">
        <v>1</v>
      </c>
      <c r="E25" s="63"/>
      <c r="F25" s="730"/>
      <c r="G25" s="64" t="s">
        <v>66</v>
      </c>
      <c r="H25" s="65" t="s">
        <v>67</v>
      </c>
      <c r="I25" s="946">
        <f>0.43597*I26</f>
        <v>0.022801231</v>
      </c>
      <c r="J25" s="66"/>
      <c r="K25" s="345">
        <f t="shared" si="3"/>
        <v>0</v>
      </c>
      <c r="L25" s="951">
        <v>56.06</v>
      </c>
      <c r="M25" s="66"/>
      <c r="N25" s="80">
        <f t="shared" si="2"/>
        <v>0</v>
      </c>
      <c r="O25" s="43"/>
      <c r="P25" s="127"/>
      <c r="Q25" s="41"/>
      <c r="R25" s="41"/>
      <c r="S25" s="41"/>
      <c r="T25" s="41"/>
      <c r="U25" s="41"/>
      <c r="V25" s="41"/>
      <c r="W25" s="41"/>
      <c r="X25" s="41"/>
      <c r="Y25" s="41"/>
      <c r="Z25" s="41"/>
      <c r="AA25" s="41"/>
      <c r="AB25" s="41"/>
      <c r="AC25" s="41"/>
      <c r="AD25" s="41"/>
    </row>
    <row r="26" spans="1:30" s="42" customFormat="1" ht="15" customHeight="1" thickBot="1">
      <c r="A26" s="93">
        <f t="shared" si="0"/>
        <v>5</v>
      </c>
      <c r="B26" s="17">
        <v>1</v>
      </c>
      <c r="E26" s="59"/>
      <c r="F26" s="729"/>
      <c r="G26" s="60" t="s">
        <v>68</v>
      </c>
      <c r="H26" s="61" t="s">
        <v>67</v>
      </c>
      <c r="I26" s="947">
        <f>52.3/1000</f>
        <v>0.0523</v>
      </c>
      <c r="J26" s="62"/>
      <c r="K26" s="344">
        <f t="shared" si="3"/>
        <v>0</v>
      </c>
      <c r="L26" s="952">
        <v>56.06</v>
      </c>
      <c r="M26" s="62"/>
      <c r="N26" s="80">
        <f t="shared" si="2"/>
        <v>0</v>
      </c>
      <c r="O26" s="43"/>
      <c r="P26" s="127"/>
      <c r="Q26" s="41"/>
      <c r="R26" s="41"/>
      <c r="S26" s="41"/>
      <c r="T26" s="41"/>
      <c r="U26" s="41"/>
      <c r="V26" s="41"/>
      <c r="W26" s="41"/>
      <c r="X26" s="41"/>
      <c r="Y26" s="41"/>
      <c r="Z26" s="41"/>
      <c r="AA26" s="41"/>
      <c r="AB26" s="41"/>
      <c r="AC26" s="41"/>
      <c r="AD26" s="41"/>
    </row>
    <row r="27" spans="1:30" s="42" customFormat="1" ht="15" customHeight="1" thickBot="1">
      <c r="A27" s="93">
        <f t="shared" si="0"/>
        <v>4</v>
      </c>
      <c r="B27" s="17">
        <v>1</v>
      </c>
      <c r="E27" s="63"/>
      <c r="F27" s="730"/>
      <c r="G27" s="64" t="s">
        <v>66</v>
      </c>
      <c r="H27" s="65" t="s">
        <v>69</v>
      </c>
      <c r="I27" s="948">
        <v>0.020856391182073844</v>
      </c>
      <c r="J27" s="66"/>
      <c r="K27" s="345">
        <f t="shared" si="3"/>
        <v>0</v>
      </c>
      <c r="L27" s="953">
        <v>63.2</v>
      </c>
      <c r="M27" s="67"/>
      <c r="N27" s="80">
        <f t="shared" si="2"/>
        <v>0</v>
      </c>
      <c r="O27" s="43"/>
      <c r="P27" s="127"/>
      <c r="Q27" s="41"/>
      <c r="R27" s="41"/>
      <c r="S27" s="41"/>
      <c r="T27" s="41"/>
      <c r="U27" s="41"/>
      <c r="V27" s="41"/>
      <c r="W27" s="41"/>
      <c r="X27" s="41"/>
      <c r="Y27" s="41"/>
      <c r="Z27" s="41"/>
      <c r="AA27" s="41"/>
      <c r="AB27" s="41"/>
      <c r="AC27" s="41"/>
      <c r="AD27" s="41"/>
    </row>
    <row r="28" spans="1:30" s="42" customFormat="1" ht="15" customHeight="1" thickBot="1">
      <c r="A28" s="93">
        <f t="shared" si="0"/>
        <v>3</v>
      </c>
      <c r="B28" s="17">
        <v>1</v>
      </c>
      <c r="E28" s="68"/>
      <c r="F28" s="728"/>
      <c r="G28" s="55" t="s">
        <v>68</v>
      </c>
      <c r="H28" s="56" t="s">
        <v>69</v>
      </c>
      <c r="I28" s="949">
        <v>0.04598</v>
      </c>
      <c r="J28" s="66"/>
      <c r="K28" s="345">
        <f t="shared" si="3"/>
        <v>0</v>
      </c>
      <c r="L28" s="946">
        <v>63.2</v>
      </c>
      <c r="M28" s="69"/>
      <c r="N28" s="80">
        <f t="shared" si="2"/>
        <v>0</v>
      </c>
      <c r="O28" s="43"/>
      <c r="P28" s="127"/>
      <c r="Q28" s="41"/>
      <c r="R28" s="41"/>
      <c r="S28" s="41"/>
      <c r="T28" s="41"/>
      <c r="U28" s="41"/>
      <c r="V28" s="41"/>
      <c r="W28" s="41"/>
      <c r="X28" s="41"/>
      <c r="Y28" s="41"/>
      <c r="Z28" s="41"/>
      <c r="AA28" s="41"/>
      <c r="AB28" s="41"/>
      <c r="AC28" s="41"/>
      <c r="AD28" s="41"/>
    </row>
    <row r="29" spans="1:30" s="42" customFormat="1" ht="15" customHeight="1" thickBot="1">
      <c r="A29" s="93">
        <f t="shared" si="0"/>
        <v>2</v>
      </c>
      <c r="B29" s="17">
        <v>1</v>
      </c>
      <c r="E29" s="68"/>
      <c r="F29" s="728"/>
      <c r="G29" s="55" t="s">
        <v>60</v>
      </c>
      <c r="H29" s="56" t="s">
        <v>69</v>
      </c>
      <c r="I29" s="949">
        <v>0.0942</v>
      </c>
      <c r="J29" s="66"/>
      <c r="K29" s="345">
        <f t="shared" si="3"/>
        <v>0</v>
      </c>
      <c r="L29" s="946">
        <v>63.2</v>
      </c>
      <c r="M29" s="69"/>
      <c r="N29" s="80">
        <f t="shared" si="2"/>
        <v>0</v>
      </c>
      <c r="O29" s="43"/>
      <c r="P29" s="127"/>
      <c r="Q29" s="41"/>
      <c r="R29" s="41"/>
      <c r="S29" s="41"/>
      <c r="T29" s="41"/>
      <c r="U29" s="41"/>
      <c r="V29" s="41"/>
      <c r="W29" s="41"/>
      <c r="X29" s="41"/>
      <c r="Y29" s="41"/>
      <c r="Z29" s="41"/>
      <c r="AA29" s="41"/>
      <c r="AB29" s="41"/>
      <c r="AC29" s="41"/>
      <c r="AD29" s="41"/>
    </row>
    <row r="30" spans="1:30" s="42" customFormat="1" ht="15" customHeight="1" thickBot="1">
      <c r="A30" s="93">
        <f t="shared" si="0"/>
        <v>1</v>
      </c>
      <c r="B30" s="17">
        <v>1</v>
      </c>
      <c r="E30" s="350"/>
      <c r="F30" s="731"/>
      <c r="G30" s="351" t="s">
        <v>277</v>
      </c>
      <c r="H30" s="77" t="s">
        <v>69</v>
      </c>
      <c r="I30" s="950">
        <v>0.0249</v>
      </c>
      <c r="J30" s="75"/>
      <c r="K30" s="346">
        <f t="shared" si="3"/>
        <v>0</v>
      </c>
      <c r="L30" s="954">
        <v>63.2</v>
      </c>
      <c r="M30" s="76"/>
      <c r="N30" s="83">
        <f t="shared" si="2"/>
        <v>0</v>
      </c>
      <c r="O30" s="43"/>
      <c r="P30" s="127"/>
      <c r="Q30" s="41"/>
      <c r="R30" s="41"/>
      <c r="S30" s="41"/>
      <c r="T30" s="41"/>
      <c r="U30" s="41"/>
      <c r="V30" s="41"/>
      <c r="W30" s="41"/>
      <c r="X30" s="41"/>
      <c r="Y30" s="41"/>
      <c r="Z30" s="41"/>
      <c r="AA30" s="41"/>
      <c r="AB30" s="41"/>
      <c r="AC30" s="41"/>
      <c r="AD30" s="41"/>
    </row>
    <row r="31" spans="1:37" s="245" customFormat="1" ht="20.25" customHeight="1" thickBot="1">
      <c r="A31" s="93">
        <f t="shared" si="0"/>
        <v>16</v>
      </c>
      <c r="B31" s="129"/>
      <c r="C31" s="134"/>
      <c r="D31" s="135" t="s">
        <v>846</v>
      </c>
      <c r="E31" s="134"/>
      <c r="F31" s="726"/>
      <c r="G31" s="136"/>
      <c r="H31" s="136"/>
      <c r="I31" s="134"/>
      <c r="J31" s="134"/>
      <c r="K31" s="342">
        <f ca="1">SUM(OFFSET(K32,0,0,A32,1))</f>
        <v>0</v>
      </c>
      <c r="L31" s="134"/>
      <c r="M31" s="137"/>
      <c r="N31" s="138">
        <f ca="1">SUM(OFFSET(N32,0,0,A32,1))</f>
        <v>0</v>
      </c>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1:30" s="42" customFormat="1" ht="15" customHeight="1" hidden="1" thickBot="1">
      <c r="A32" s="93">
        <f t="shared" si="0"/>
        <v>15</v>
      </c>
      <c r="B32" s="53">
        <v>1</v>
      </c>
      <c r="E32" s="63"/>
      <c r="F32" s="730"/>
      <c r="G32" s="64" t="s">
        <v>60</v>
      </c>
      <c r="H32" s="65" t="s">
        <v>61</v>
      </c>
      <c r="I32" s="352">
        <v>0.13020400000000001</v>
      </c>
      <c r="J32" s="66"/>
      <c r="K32" s="345">
        <f aca="true" t="shared" si="4" ref="K32:K46">F32*IF(J32=0,I32,J32)</f>
        <v>0</v>
      </c>
      <c r="L32" s="355">
        <v>69.25</v>
      </c>
      <c r="M32" s="66"/>
      <c r="N32" s="82">
        <f aca="true" t="shared" si="5" ref="N32:N46">K32*IF(M32=0,L32,M32)/1000</f>
        <v>0</v>
      </c>
      <c r="O32" s="43"/>
      <c r="P32" s="127"/>
      <c r="Q32" s="41"/>
      <c r="R32" s="41"/>
      <c r="S32" s="41"/>
      <c r="T32" s="41"/>
      <c r="U32" s="41"/>
      <c r="V32" s="41"/>
      <c r="W32" s="41"/>
      <c r="X32" s="41"/>
      <c r="Y32" s="41"/>
      <c r="Z32" s="41"/>
      <c r="AA32" s="41"/>
      <c r="AB32" s="41"/>
      <c r="AC32" s="41"/>
      <c r="AD32" s="41"/>
    </row>
    <row r="33" spans="1:30" s="42" customFormat="1" ht="15" customHeight="1" hidden="1" thickBot="1">
      <c r="A33" s="93">
        <f t="shared" si="0"/>
        <v>14</v>
      </c>
      <c r="B33" s="53">
        <v>1</v>
      </c>
      <c r="E33" s="54"/>
      <c r="F33" s="728"/>
      <c r="G33" s="55" t="s">
        <v>62</v>
      </c>
      <c r="H33" s="56" t="s">
        <v>61</v>
      </c>
      <c r="I33" s="353">
        <v>0.1563824</v>
      </c>
      <c r="J33" s="57"/>
      <c r="K33" s="343">
        <f t="shared" si="4"/>
        <v>0</v>
      </c>
      <c r="L33" s="356">
        <v>69.25</v>
      </c>
      <c r="M33" s="57"/>
      <c r="N33" s="80">
        <f t="shared" si="5"/>
        <v>0</v>
      </c>
      <c r="O33" s="43"/>
      <c r="P33" s="127"/>
      <c r="Q33" s="41"/>
      <c r="R33" s="41"/>
      <c r="S33" s="41"/>
      <c r="T33" s="41"/>
      <c r="U33" s="41"/>
      <c r="V33" s="41"/>
      <c r="W33" s="41"/>
      <c r="X33" s="41"/>
      <c r="Y33" s="41"/>
      <c r="Z33" s="41"/>
      <c r="AA33" s="41"/>
      <c r="AB33" s="41"/>
      <c r="AC33" s="41"/>
      <c r="AD33" s="41"/>
    </row>
    <row r="34" spans="1:30" s="42" customFormat="1" ht="15" customHeight="1" hidden="1" thickBot="1">
      <c r="A34" s="93">
        <f t="shared" si="0"/>
        <v>13</v>
      </c>
      <c r="B34" s="53">
        <v>1</v>
      </c>
      <c r="E34" s="54"/>
      <c r="F34" s="728"/>
      <c r="G34" s="55" t="s">
        <v>277</v>
      </c>
      <c r="H34" s="56" t="s">
        <v>61</v>
      </c>
      <c r="I34" s="353">
        <v>0.0344</v>
      </c>
      <c r="J34" s="57"/>
      <c r="K34" s="343">
        <f t="shared" si="4"/>
        <v>0</v>
      </c>
      <c r="L34" s="356">
        <v>69.25</v>
      </c>
      <c r="M34" s="57"/>
      <c r="N34" s="80">
        <f t="shared" si="5"/>
        <v>0</v>
      </c>
      <c r="O34" s="43"/>
      <c r="P34" s="127"/>
      <c r="Q34" s="41"/>
      <c r="R34" s="41"/>
      <c r="S34" s="41"/>
      <c r="T34" s="41"/>
      <c r="U34" s="41"/>
      <c r="V34" s="41"/>
      <c r="W34" s="41"/>
      <c r="X34" s="41"/>
      <c r="Y34" s="41"/>
      <c r="Z34" s="41"/>
      <c r="AA34" s="41"/>
      <c r="AB34" s="41"/>
      <c r="AC34" s="41"/>
      <c r="AD34" s="41"/>
    </row>
    <row r="35" spans="1:30" s="42" customFormat="1" ht="15" customHeight="1" hidden="1" thickBot="1">
      <c r="A35" s="93">
        <f t="shared" si="0"/>
        <v>12</v>
      </c>
      <c r="B35" s="53">
        <v>1</v>
      </c>
      <c r="E35" s="59"/>
      <c r="F35" s="729"/>
      <c r="G35" s="60" t="s">
        <v>572</v>
      </c>
      <c r="H35" s="61" t="s">
        <v>61</v>
      </c>
      <c r="I35" s="354">
        <v>43.56739773101807</v>
      </c>
      <c r="J35" s="62"/>
      <c r="K35" s="344">
        <f t="shared" si="4"/>
        <v>0</v>
      </c>
      <c r="L35" s="357">
        <v>69.25</v>
      </c>
      <c r="M35" s="62"/>
      <c r="N35" s="81">
        <f t="shared" si="5"/>
        <v>0</v>
      </c>
      <c r="O35" s="43"/>
      <c r="P35" s="127"/>
      <c r="Q35" s="41"/>
      <c r="R35" s="41"/>
      <c r="S35" s="41"/>
      <c r="T35" s="41"/>
      <c r="U35" s="41"/>
      <c r="V35" s="41"/>
      <c r="W35" s="41"/>
      <c r="X35" s="41"/>
      <c r="Y35" s="41"/>
      <c r="Z35" s="41"/>
      <c r="AA35" s="41"/>
      <c r="AB35" s="41"/>
      <c r="AC35" s="41"/>
      <c r="AD35" s="41"/>
    </row>
    <row r="36" spans="1:30" s="42" customFormat="1" ht="15" customHeight="1" hidden="1" thickBot="1">
      <c r="A36" s="93">
        <f t="shared" si="0"/>
        <v>11</v>
      </c>
      <c r="B36" s="53">
        <v>1</v>
      </c>
      <c r="E36" s="63"/>
      <c r="F36" s="730"/>
      <c r="G36" s="64" t="s">
        <v>60</v>
      </c>
      <c r="H36" s="65" t="s">
        <v>65</v>
      </c>
      <c r="I36" s="353">
        <v>0.1404235</v>
      </c>
      <c r="J36" s="66"/>
      <c r="K36" s="345">
        <f t="shared" si="4"/>
        <v>0</v>
      </c>
      <c r="L36" s="356">
        <v>74.01</v>
      </c>
      <c r="M36" s="66"/>
      <c r="N36" s="82">
        <f t="shared" si="5"/>
        <v>0</v>
      </c>
      <c r="O36" s="43"/>
      <c r="P36" s="127"/>
      <c r="Q36" s="41"/>
      <c r="R36" s="41"/>
      <c r="S36" s="41"/>
      <c r="T36" s="41"/>
      <c r="U36" s="41"/>
      <c r="V36" s="41"/>
      <c r="W36" s="41"/>
      <c r="X36" s="41"/>
      <c r="Y36" s="41"/>
      <c r="Z36" s="41"/>
      <c r="AA36" s="41"/>
      <c r="AB36" s="41"/>
      <c r="AC36" s="41"/>
      <c r="AD36" s="41"/>
    </row>
    <row r="37" spans="1:30" s="42" customFormat="1" ht="15" customHeight="1" hidden="1" thickBot="1">
      <c r="A37" s="93">
        <f t="shared" si="0"/>
        <v>10</v>
      </c>
      <c r="B37" s="53">
        <v>1</v>
      </c>
      <c r="E37" s="54"/>
      <c r="F37" s="728"/>
      <c r="G37" s="55" t="s">
        <v>62</v>
      </c>
      <c r="H37" s="56" t="s">
        <v>65</v>
      </c>
      <c r="I37" s="353">
        <v>0.16865660000000002</v>
      </c>
      <c r="J37" s="57"/>
      <c r="K37" s="343">
        <f t="shared" si="4"/>
        <v>0</v>
      </c>
      <c r="L37" s="356">
        <v>74.01</v>
      </c>
      <c r="M37" s="57"/>
      <c r="N37" s="80">
        <f t="shared" si="5"/>
        <v>0</v>
      </c>
      <c r="O37" s="43"/>
      <c r="P37" s="127"/>
      <c r="Q37" s="41"/>
      <c r="R37" s="41"/>
      <c r="S37" s="41"/>
      <c r="T37" s="41"/>
      <c r="U37" s="41"/>
      <c r="V37" s="41"/>
      <c r="W37" s="41"/>
      <c r="X37" s="41"/>
      <c r="Y37" s="41"/>
      <c r="Z37" s="41"/>
      <c r="AA37" s="41"/>
      <c r="AB37" s="41"/>
      <c r="AC37" s="41"/>
      <c r="AD37" s="41"/>
    </row>
    <row r="38" spans="1:30" s="42" customFormat="1" ht="15" customHeight="1" hidden="1" thickBot="1">
      <c r="A38" s="93">
        <f t="shared" si="0"/>
        <v>9</v>
      </c>
      <c r="B38" s="53">
        <v>1</v>
      </c>
      <c r="E38" s="54"/>
      <c r="F38" s="728"/>
      <c r="G38" s="55" t="s">
        <v>277</v>
      </c>
      <c r="H38" s="56" t="s">
        <v>65</v>
      </c>
      <c r="I38" s="353">
        <v>0.0371</v>
      </c>
      <c r="J38" s="57"/>
      <c r="K38" s="343">
        <f t="shared" si="4"/>
        <v>0</v>
      </c>
      <c r="L38" s="356">
        <v>74.01</v>
      </c>
      <c r="M38" s="57"/>
      <c r="N38" s="80">
        <f t="shared" si="5"/>
        <v>0</v>
      </c>
      <c r="O38" s="43"/>
      <c r="P38" s="127"/>
      <c r="Q38" s="41"/>
      <c r="R38" s="41"/>
      <c r="S38" s="41"/>
      <c r="T38" s="41"/>
      <c r="U38" s="41"/>
      <c r="V38" s="41"/>
      <c r="W38" s="41"/>
      <c r="X38" s="41"/>
      <c r="Y38" s="41"/>
      <c r="Z38" s="41"/>
      <c r="AA38" s="41"/>
      <c r="AB38" s="41"/>
      <c r="AC38" s="41"/>
      <c r="AD38" s="41"/>
    </row>
    <row r="39" spans="1:30" s="42" customFormat="1" ht="15" customHeight="1" hidden="1" thickBot="1">
      <c r="A39" s="93">
        <f t="shared" si="0"/>
        <v>8</v>
      </c>
      <c r="B39" s="53">
        <v>1</v>
      </c>
      <c r="E39" s="59"/>
      <c r="F39" s="729"/>
      <c r="G39" s="60" t="s">
        <v>572</v>
      </c>
      <c r="H39" s="61" t="s">
        <v>65</v>
      </c>
      <c r="I39" s="354">
        <v>44.16666666666667</v>
      </c>
      <c r="J39" s="62"/>
      <c r="K39" s="344">
        <f t="shared" si="4"/>
        <v>0</v>
      </c>
      <c r="L39" s="357">
        <v>74.01</v>
      </c>
      <c r="M39" s="62"/>
      <c r="N39" s="81">
        <f t="shared" si="5"/>
        <v>0</v>
      </c>
      <c r="O39" s="43"/>
      <c r="P39" s="127"/>
      <c r="Q39" s="41"/>
      <c r="R39" s="41"/>
      <c r="S39" s="41"/>
      <c r="T39" s="41"/>
      <c r="U39" s="41"/>
      <c r="V39" s="41"/>
      <c r="W39" s="41"/>
      <c r="X39" s="41"/>
      <c r="Y39" s="41"/>
      <c r="Z39" s="41"/>
      <c r="AA39" s="41"/>
      <c r="AB39" s="41"/>
      <c r="AC39" s="41"/>
      <c r="AD39" s="41"/>
    </row>
    <row r="40" spans="1:30" s="42" customFormat="1" ht="15" customHeight="1" hidden="1" thickBot="1">
      <c r="A40" s="93">
        <f t="shared" si="0"/>
        <v>7</v>
      </c>
      <c r="B40" s="53"/>
      <c r="E40" s="54"/>
      <c r="F40" s="728"/>
      <c r="G40" s="55" t="s">
        <v>60</v>
      </c>
      <c r="H40" s="56" t="s">
        <v>70</v>
      </c>
      <c r="I40" s="332">
        <v>0.1434515</v>
      </c>
      <c r="J40" s="57"/>
      <c r="K40" s="343">
        <f t="shared" si="4"/>
        <v>0</v>
      </c>
      <c r="L40" s="356">
        <v>77.3</v>
      </c>
      <c r="M40" s="57"/>
      <c r="N40" s="80">
        <f t="shared" si="5"/>
        <v>0</v>
      </c>
      <c r="O40" s="43"/>
      <c r="P40" s="127"/>
      <c r="Q40" s="41"/>
      <c r="R40" s="41"/>
      <c r="S40" s="41"/>
      <c r="T40" s="41"/>
      <c r="U40" s="41"/>
      <c r="V40" s="41"/>
      <c r="W40" s="41"/>
      <c r="X40" s="41"/>
      <c r="Y40" s="41"/>
      <c r="Z40" s="41"/>
      <c r="AA40" s="41"/>
      <c r="AB40" s="41"/>
      <c r="AC40" s="41"/>
      <c r="AD40" s="41"/>
    </row>
    <row r="41" spans="1:30" s="42" customFormat="1" ht="15" customHeight="1" hidden="1" thickBot="1">
      <c r="A41" s="93">
        <f t="shared" si="0"/>
        <v>6</v>
      </c>
      <c r="B41" s="53"/>
      <c r="E41" s="54"/>
      <c r="F41" s="728"/>
      <c r="G41" s="55" t="s">
        <v>71</v>
      </c>
      <c r="H41" s="56" t="s">
        <v>70</v>
      </c>
      <c r="I41" s="955">
        <v>0.1722934</v>
      </c>
      <c r="J41" s="57"/>
      <c r="K41" s="343">
        <f t="shared" si="4"/>
        <v>0</v>
      </c>
      <c r="L41" s="356">
        <v>77.3</v>
      </c>
      <c r="M41" s="57"/>
      <c r="N41" s="80">
        <f t="shared" si="5"/>
        <v>0</v>
      </c>
      <c r="O41" s="43"/>
      <c r="P41" s="127"/>
      <c r="Q41" s="41"/>
      <c r="R41" s="41"/>
      <c r="S41" s="41"/>
      <c r="T41" s="41"/>
      <c r="U41" s="41"/>
      <c r="V41" s="41"/>
      <c r="W41" s="41"/>
      <c r="X41" s="41"/>
      <c r="Y41" s="41"/>
      <c r="Z41" s="41"/>
      <c r="AA41" s="41"/>
      <c r="AB41" s="41"/>
      <c r="AC41" s="41"/>
      <c r="AD41" s="41"/>
    </row>
    <row r="42" spans="1:30" s="42" customFormat="1" ht="15" customHeight="1" hidden="1" thickBot="1">
      <c r="A42" s="93">
        <f t="shared" si="0"/>
        <v>5</v>
      </c>
      <c r="B42" s="53"/>
      <c r="E42" s="54"/>
      <c r="F42" s="728"/>
      <c r="G42" s="55" t="s">
        <v>72</v>
      </c>
      <c r="H42" s="56" t="s">
        <v>70</v>
      </c>
      <c r="I42" s="955">
        <f>42*I40</f>
        <v>6.0249630000000005</v>
      </c>
      <c r="J42" s="57"/>
      <c r="K42" s="343">
        <f t="shared" si="4"/>
        <v>0</v>
      </c>
      <c r="L42" s="356">
        <v>77.3</v>
      </c>
      <c r="M42" s="57"/>
      <c r="N42" s="80">
        <f t="shared" si="5"/>
        <v>0</v>
      </c>
      <c r="O42" s="43"/>
      <c r="P42" s="127"/>
      <c r="Q42" s="41"/>
      <c r="R42" s="41"/>
      <c r="S42" s="41"/>
      <c r="T42" s="41"/>
      <c r="U42" s="41"/>
      <c r="V42" s="41"/>
      <c r="W42" s="41"/>
      <c r="X42" s="41"/>
      <c r="Y42" s="41"/>
      <c r="Z42" s="41"/>
      <c r="AA42" s="41"/>
      <c r="AB42" s="41"/>
      <c r="AC42" s="41"/>
      <c r="AD42" s="41"/>
    </row>
    <row r="43" spans="1:30" s="42" customFormat="1" ht="15" customHeight="1" hidden="1" thickBot="1">
      <c r="A43" s="93">
        <f t="shared" si="0"/>
        <v>4</v>
      </c>
      <c r="B43" s="53"/>
      <c r="E43" s="63"/>
      <c r="F43" s="730"/>
      <c r="G43" s="55" t="s">
        <v>572</v>
      </c>
      <c r="H43" s="56" t="s">
        <v>70</v>
      </c>
      <c r="I43" s="334">
        <v>39.9535316595376</v>
      </c>
      <c r="J43" s="66"/>
      <c r="K43" s="345">
        <f t="shared" si="4"/>
        <v>0</v>
      </c>
      <c r="L43" s="356">
        <v>77.3</v>
      </c>
      <c r="M43" s="66"/>
      <c r="N43" s="82">
        <f t="shared" si="5"/>
        <v>0</v>
      </c>
      <c r="O43" s="43"/>
      <c r="P43" s="127"/>
      <c r="Q43" s="41"/>
      <c r="R43" s="41"/>
      <c r="S43" s="41"/>
      <c r="T43" s="41"/>
      <c r="U43" s="41"/>
      <c r="V43" s="41"/>
      <c r="W43" s="41"/>
      <c r="X43" s="41"/>
      <c r="Y43" s="41"/>
      <c r="Z43" s="41"/>
      <c r="AA43" s="41"/>
      <c r="AB43" s="41"/>
      <c r="AC43" s="41"/>
      <c r="AD43" s="41"/>
    </row>
    <row r="44" spans="1:30" s="42" customFormat="1" ht="15" customHeight="1" hidden="1" thickBot="1">
      <c r="A44" s="93">
        <f t="shared" si="0"/>
        <v>3</v>
      </c>
      <c r="B44" s="53">
        <v>1</v>
      </c>
      <c r="E44" s="63"/>
      <c r="F44" s="730"/>
      <c r="G44" s="64" t="s">
        <v>73</v>
      </c>
      <c r="H44" s="56" t="s">
        <v>74</v>
      </c>
      <c r="I44" s="955">
        <f>0.907*23.53</f>
        <v>21.341710000000003</v>
      </c>
      <c r="J44" s="66"/>
      <c r="K44" s="345">
        <f t="shared" si="4"/>
        <v>0</v>
      </c>
      <c r="L44" s="956">
        <v>94.53</v>
      </c>
      <c r="M44" s="66"/>
      <c r="N44" s="82">
        <f t="shared" si="5"/>
        <v>0</v>
      </c>
      <c r="O44" s="43"/>
      <c r="P44" s="127"/>
      <c r="Q44" s="41"/>
      <c r="R44" s="41"/>
      <c r="S44" s="41"/>
      <c r="T44" s="41"/>
      <c r="U44" s="41"/>
      <c r="V44" s="41"/>
      <c r="W44" s="41"/>
      <c r="X44" s="41"/>
      <c r="Y44" s="41"/>
      <c r="Z44" s="41"/>
      <c r="AA44" s="41"/>
      <c r="AB44" s="41"/>
      <c r="AC44" s="41"/>
      <c r="AD44" s="41"/>
    </row>
    <row r="45" spans="1:30" s="42" customFormat="1" ht="15" customHeight="1" hidden="1" thickBot="1">
      <c r="A45" s="93">
        <f t="shared" si="0"/>
        <v>2</v>
      </c>
      <c r="B45" s="53">
        <v>1</v>
      </c>
      <c r="E45" s="54"/>
      <c r="F45" s="728"/>
      <c r="G45" s="55" t="s">
        <v>572</v>
      </c>
      <c r="H45" s="56" t="s">
        <v>74</v>
      </c>
      <c r="I45" s="946">
        <v>23.53</v>
      </c>
      <c r="J45" s="57"/>
      <c r="K45" s="343">
        <f t="shared" si="4"/>
        <v>0</v>
      </c>
      <c r="L45" s="956">
        <v>94.53</v>
      </c>
      <c r="M45" s="57"/>
      <c r="N45" s="80">
        <f t="shared" si="5"/>
        <v>0</v>
      </c>
      <c r="O45" s="43"/>
      <c r="P45" s="127"/>
      <c r="Q45" s="41"/>
      <c r="R45" s="41"/>
      <c r="S45" s="41"/>
      <c r="T45" s="41"/>
      <c r="U45" s="41"/>
      <c r="V45" s="41"/>
      <c r="W45" s="41"/>
      <c r="X45" s="41"/>
      <c r="Y45" s="41"/>
      <c r="Z45" s="41"/>
      <c r="AA45" s="41"/>
      <c r="AB45" s="41"/>
      <c r="AC45" s="41"/>
      <c r="AD45" s="41"/>
    </row>
    <row r="46" spans="1:30" s="42" customFormat="1" ht="15" customHeight="1" hidden="1" thickBot="1">
      <c r="A46" s="93">
        <f t="shared" si="0"/>
        <v>1</v>
      </c>
      <c r="B46" s="53">
        <v>1</v>
      </c>
      <c r="E46" s="631"/>
      <c r="F46" s="731"/>
      <c r="G46" s="72"/>
      <c r="H46" s="73" t="s">
        <v>75</v>
      </c>
      <c r="I46" s="74"/>
      <c r="J46" s="75"/>
      <c r="K46" s="346">
        <f t="shared" si="4"/>
        <v>0</v>
      </c>
      <c r="L46" s="957">
        <v>1</v>
      </c>
      <c r="M46" s="76"/>
      <c r="N46" s="83">
        <f t="shared" si="5"/>
        <v>0</v>
      </c>
      <c r="O46" s="43"/>
      <c r="P46" s="127"/>
      <c r="Q46" s="41"/>
      <c r="R46" s="41"/>
      <c r="S46" s="41"/>
      <c r="T46" s="41"/>
      <c r="U46" s="41"/>
      <c r="V46" s="41"/>
      <c r="W46" s="41"/>
      <c r="X46" s="41"/>
      <c r="Y46" s="41"/>
      <c r="Z46" s="41"/>
      <c r="AA46" s="41"/>
      <c r="AB46" s="41"/>
      <c r="AC46" s="41"/>
      <c r="AD46" s="41"/>
    </row>
    <row r="47" spans="1:37" s="245" customFormat="1" ht="20.25" customHeight="1" thickBot="1">
      <c r="A47" s="93">
        <f t="shared" si="0"/>
        <v>16</v>
      </c>
      <c r="B47" s="129"/>
      <c r="C47" s="134"/>
      <c r="D47" s="135" t="s">
        <v>278</v>
      </c>
      <c r="E47" s="139"/>
      <c r="F47" s="726"/>
      <c r="G47" s="136"/>
      <c r="H47" s="136"/>
      <c r="I47" s="134"/>
      <c r="J47" s="134"/>
      <c r="K47" s="342">
        <f ca="1">SUM(OFFSET(K48,0,0,A48,1))</f>
        <v>0</v>
      </c>
      <c r="L47" s="134"/>
      <c r="M47" s="137"/>
      <c r="N47" s="138">
        <f ca="1">SUM(OFFSET(N48,0,0,A48,1))</f>
        <v>0</v>
      </c>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row>
    <row r="48" spans="1:30" s="42" customFormat="1" ht="15" customHeight="1" hidden="1" thickBot="1">
      <c r="A48" s="93">
        <f t="shared" si="0"/>
        <v>15</v>
      </c>
      <c r="B48" s="53">
        <v>1</v>
      </c>
      <c r="E48" s="63"/>
      <c r="F48" s="730">
        <v>0</v>
      </c>
      <c r="G48" s="64" t="s">
        <v>60</v>
      </c>
      <c r="H48" s="65" t="s">
        <v>61</v>
      </c>
      <c r="I48" s="352">
        <v>0.13020400000000001</v>
      </c>
      <c r="J48" s="66"/>
      <c r="K48" s="345">
        <f aca="true" t="shared" si="6" ref="K48:K55">F48*IF(J48=0,I48,J48)</f>
        <v>0</v>
      </c>
      <c r="L48" s="355">
        <v>69.25</v>
      </c>
      <c r="M48" s="66"/>
      <c r="N48" s="82">
        <f aca="true" t="shared" si="7" ref="N48:N62">K48*IF(M48=0,L48,M48)/1000</f>
        <v>0</v>
      </c>
      <c r="O48" s="43"/>
      <c r="P48" s="127"/>
      <c r="Q48" s="41"/>
      <c r="R48" s="41"/>
      <c r="S48" s="41"/>
      <c r="T48" s="41"/>
      <c r="U48" s="41"/>
      <c r="V48" s="41"/>
      <c r="W48" s="41"/>
      <c r="X48" s="41"/>
      <c r="Y48" s="41"/>
      <c r="Z48" s="41"/>
      <c r="AA48" s="41"/>
      <c r="AB48" s="41"/>
      <c r="AC48" s="41"/>
      <c r="AD48" s="41"/>
    </row>
    <row r="49" spans="1:30" s="42" customFormat="1" ht="15" customHeight="1" hidden="1" thickBot="1">
      <c r="A49" s="93">
        <f t="shared" si="0"/>
        <v>14</v>
      </c>
      <c r="B49" s="53">
        <v>1</v>
      </c>
      <c r="E49" s="54"/>
      <c r="F49" s="728"/>
      <c r="G49" s="55" t="s">
        <v>62</v>
      </c>
      <c r="H49" s="56" t="s">
        <v>61</v>
      </c>
      <c r="I49" s="353">
        <v>0.1563824</v>
      </c>
      <c r="J49" s="57"/>
      <c r="K49" s="343">
        <f t="shared" si="6"/>
        <v>0</v>
      </c>
      <c r="L49" s="356">
        <v>69.25</v>
      </c>
      <c r="M49" s="57"/>
      <c r="N49" s="80">
        <f t="shared" si="7"/>
        <v>0</v>
      </c>
      <c r="O49" s="43"/>
      <c r="P49" s="127"/>
      <c r="Q49" s="41"/>
      <c r="R49" s="41"/>
      <c r="S49" s="41"/>
      <c r="T49" s="41"/>
      <c r="U49" s="41"/>
      <c r="V49" s="41"/>
      <c r="W49" s="41"/>
      <c r="X49" s="41"/>
      <c r="Y49" s="41"/>
      <c r="Z49" s="41"/>
      <c r="AA49" s="41"/>
      <c r="AB49" s="41"/>
      <c r="AC49" s="41"/>
      <c r="AD49" s="41"/>
    </row>
    <row r="50" spans="1:30" s="42" customFormat="1" ht="15" customHeight="1" hidden="1" thickBot="1">
      <c r="A50" s="93">
        <f t="shared" si="0"/>
        <v>13</v>
      </c>
      <c r="B50" s="53">
        <v>1</v>
      </c>
      <c r="E50" s="54"/>
      <c r="F50" s="728"/>
      <c r="G50" s="55" t="s">
        <v>277</v>
      </c>
      <c r="H50" s="56" t="s">
        <v>61</v>
      </c>
      <c r="I50" s="353">
        <v>0.0344</v>
      </c>
      <c r="J50" s="57"/>
      <c r="K50" s="343">
        <f t="shared" si="6"/>
        <v>0</v>
      </c>
      <c r="L50" s="356">
        <v>69.25</v>
      </c>
      <c r="M50" s="57"/>
      <c r="N50" s="80">
        <f t="shared" si="7"/>
        <v>0</v>
      </c>
      <c r="O50" s="43"/>
      <c r="P50" s="127"/>
      <c r="Q50" s="41"/>
      <c r="R50" s="41"/>
      <c r="S50" s="41"/>
      <c r="T50" s="41"/>
      <c r="U50" s="41"/>
      <c r="V50" s="41"/>
      <c r="W50" s="41"/>
      <c r="X50" s="41"/>
      <c r="Y50" s="41"/>
      <c r="Z50" s="41"/>
      <c r="AA50" s="41"/>
      <c r="AB50" s="41"/>
      <c r="AC50" s="41"/>
      <c r="AD50" s="41"/>
    </row>
    <row r="51" spans="1:30" s="42" customFormat="1" ht="15" customHeight="1" hidden="1" thickBot="1">
      <c r="A51" s="93">
        <f t="shared" si="0"/>
        <v>12</v>
      </c>
      <c r="B51" s="53">
        <v>1</v>
      </c>
      <c r="E51" s="59"/>
      <c r="F51" s="729"/>
      <c r="G51" s="60" t="s">
        <v>572</v>
      </c>
      <c r="H51" s="61" t="s">
        <v>61</v>
      </c>
      <c r="I51" s="354">
        <v>43.56739773101807</v>
      </c>
      <c r="J51" s="62"/>
      <c r="K51" s="344">
        <f t="shared" si="6"/>
        <v>0</v>
      </c>
      <c r="L51" s="357">
        <v>69.25</v>
      </c>
      <c r="M51" s="62"/>
      <c r="N51" s="80">
        <f t="shared" si="7"/>
        <v>0</v>
      </c>
      <c r="O51" s="43"/>
      <c r="P51" s="127"/>
      <c r="Q51" s="41"/>
      <c r="R51" s="41"/>
      <c r="S51" s="41"/>
      <c r="T51" s="41"/>
      <c r="U51" s="41"/>
      <c r="V51" s="41"/>
      <c r="W51" s="41"/>
      <c r="X51" s="41"/>
      <c r="Y51" s="41"/>
      <c r="Z51" s="41"/>
      <c r="AA51" s="41"/>
      <c r="AB51" s="41"/>
      <c r="AC51" s="41"/>
      <c r="AD51" s="41"/>
    </row>
    <row r="52" spans="1:30" s="42" customFormat="1" ht="15" customHeight="1" hidden="1" thickBot="1">
      <c r="A52" s="93">
        <f t="shared" si="0"/>
        <v>11</v>
      </c>
      <c r="B52" s="53">
        <v>1</v>
      </c>
      <c r="E52" s="63"/>
      <c r="F52" s="730"/>
      <c r="G52" s="64" t="s">
        <v>60</v>
      </c>
      <c r="H52" s="65" t="s">
        <v>65</v>
      </c>
      <c r="I52" s="353">
        <v>0.1404235</v>
      </c>
      <c r="J52" s="66"/>
      <c r="K52" s="345">
        <f t="shared" si="6"/>
        <v>0</v>
      </c>
      <c r="L52" s="356">
        <v>74.01</v>
      </c>
      <c r="M52" s="66"/>
      <c r="N52" s="80">
        <f t="shared" si="7"/>
        <v>0</v>
      </c>
      <c r="O52" s="43"/>
      <c r="P52" s="127"/>
      <c r="Q52" s="41"/>
      <c r="R52" s="41"/>
      <c r="S52" s="41"/>
      <c r="T52" s="41"/>
      <c r="U52" s="41"/>
      <c r="V52" s="41"/>
      <c r="W52" s="41"/>
      <c r="X52" s="41"/>
      <c r="Y52" s="41"/>
      <c r="Z52" s="41"/>
      <c r="AA52" s="41"/>
      <c r="AB52" s="41"/>
      <c r="AC52" s="41"/>
      <c r="AD52" s="41"/>
    </row>
    <row r="53" spans="1:30" s="42" customFormat="1" ht="15" customHeight="1" hidden="1" thickBot="1">
      <c r="A53" s="93">
        <f t="shared" si="0"/>
        <v>10</v>
      </c>
      <c r="B53" s="53">
        <v>1</v>
      </c>
      <c r="E53" s="54"/>
      <c r="F53" s="728">
        <v>0</v>
      </c>
      <c r="G53" s="55" t="s">
        <v>62</v>
      </c>
      <c r="H53" s="56" t="s">
        <v>65</v>
      </c>
      <c r="I53" s="353">
        <v>0.16865660000000002</v>
      </c>
      <c r="J53" s="57"/>
      <c r="K53" s="343">
        <f t="shared" si="6"/>
        <v>0</v>
      </c>
      <c r="L53" s="356">
        <v>74.01</v>
      </c>
      <c r="M53" s="57"/>
      <c r="N53" s="80">
        <f t="shared" si="7"/>
        <v>0</v>
      </c>
      <c r="O53" s="43"/>
      <c r="P53" s="127"/>
      <c r="Q53" s="41"/>
      <c r="R53" s="41"/>
      <c r="S53" s="41"/>
      <c r="T53" s="41"/>
      <c r="U53" s="41"/>
      <c r="V53" s="41"/>
      <c r="W53" s="41"/>
      <c r="X53" s="41"/>
      <c r="Y53" s="41"/>
      <c r="Z53" s="41"/>
      <c r="AA53" s="41"/>
      <c r="AB53" s="41"/>
      <c r="AC53" s="41"/>
      <c r="AD53" s="41"/>
    </row>
    <row r="54" spans="1:30" s="42" customFormat="1" ht="15" customHeight="1" hidden="1" thickBot="1">
      <c r="A54" s="93">
        <f t="shared" si="0"/>
        <v>9</v>
      </c>
      <c r="B54" s="53">
        <v>1</v>
      </c>
      <c r="E54" s="54"/>
      <c r="F54" s="728"/>
      <c r="G54" s="55" t="s">
        <v>277</v>
      </c>
      <c r="H54" s="56" t="s">
        <v>65</v>
      </c>
      <c r="I54" s="353">
        <v>0.0371</v>
      </c>
      <c r="J54" s="57"/>
      <c r="K54" s="343">
        <f t="shared" si="6"/>
        <v>0</v>
      </c>
      <c r="L54" s="356">
        <v>74.01</v>
      </c>
      <c r="M54" s="57"/>
      <c r="N54" s="80">
        <f t="shared" si="7"/>
        <v>0</v>
      </c>
      <c r="O54" s="43"/>
      <c r="P54" s="127"/>
      <c r="Q54" s="41"/>
      <c r="R54" s="41"/>
      <c r="S54" s="41"/>
      <c r="T54" s="41"/>
      <c r="U54" s="41"/>
      <c r="V54" s="41"/>
      <c r="W54" s="41"/>
      <c r="X54" s="41"/>
      <c r="Y54" s="41"/>
      <c r="Z54" s="41"/>
      <c r="AA54" s="41"/>
      <c r="AB54" s="41"/>
      <c r="AC54" s="41"/>
      <c r="AD54" s="41"/>
    </row>
    <row r="55" spans="1:30" s="42" customFormat="1" ht="15" customHeight="1" hidden="1" thickBot="1">
      <c r="A55" s="93">
        <f t="shared" si="0"/>
        <v>8</v>
      </c>
      <c r="B55" s="53">
        <v>1</v>
      </c>
      <c r="E55" s="59"/>
      <c r="F55" s="729"/>
      <c r="G55" s="60" t="s">
        <v>572</v>
      </c>
      <c r="H55" s="61" t="s">
        <v>65</v>
      </c>
      <c r="I55" s="354">
        <v>44.16666666666667</v>
      </c>
      <c r="J55" s="62"/>
      <c r="K55" s="344">
        <f t="shared" si="6"/>
        <v>0</v>
      </c>
      <c r="L55" s="357">
        <v>74.01</v>
      </c>
      <c r="M55" s="62"/>
      <c r="N55" s="80">
        <f t="shared" si="7"/>
        <v>0</v>
      </c>
      <c r="O55" s="43"/>
      <c r="P55" s="127"/>
      <c r="Q55" s="41"/>
      <c r="R55" s="41"/>
      <c r="S55" s="41"/>
      <c r="T55" s="41"/>
      <c r="U55" s="41"/>
      <c r="V55" s="41"/>
      <c r="W55" s="41"/>
      <c r="X55" s="41"/>
      <c r="Y55" s="41"/>
      <c r="Z55" s="41"/>
      <c r="AA55" s="41"/>
      <c r="AB55" s="41"/>
      <c r="AC55" s="41"/>
      <c r="AD55" s="41"/>
    </row>
    <row r="56" spans="1:30" s="42" customFormat="1" ht="15" customHeight="1" hidden="1" thickBot="1">
      <c r="A56" s="93">
        <f t="shared" si="0"/>
        <v>7</v>
      </c>
      <c r="B56" s="53">
        <v>1</v>
      </c>
      <c r="E56" s="54"/>
      <c r="F56" s="728"/>
      <c r="G56" s="55" t="s">
        <v>60</v>
      </c>
      <c r="H56" s="56" t="s">
        <v>70</v>
      </c>
      <c r="I56" s="332">
        <v>0.1434515</v>
      </c>
      <c r="J56" s="57"/>
      <c r="K56" s="343">
        <f aca="true" t="shared" si="8" ref="K56:K62">F56*IF(J56=0,I56,J56)</f>
        <v>0</v>
      </c>
      <c r="L56" s="333">
        <v>77.3</v>
      </c>
      <c r="M56" s="57"/>
      <c r="N56" s="80">
        <f t="shared" si="7"/>
        <v>0</v>
      </c>
      <c r="O56" s="43"/>
      <c r="P56" s="127"/>
      <c r="Q56" s="41"/>
      <c r="R56" s="41"/>
      <c r="S56" s="41"/>
      <c r="T56" s="41"/>
      <c r="U56" s="41"/>
      <c r="V56" s="41"/>
      <c r="W56" s="41"/>
      <c r="X56" s="41"/>
      <c r="Y56" s="41"/>
      <c r="Z56" s="41"/>
      <c r="AA56" s="41"/>
      <c r="AB56" s="41"/>
      <c r="AC56" s="41"/>
      <c r="AD56" s="41"/>
    </row>
    <row r="57" spans="1:30" s="42" customFormat="1" ht="15" customHeight="1" hidden="1" thickBot="1">
      <c r="A57" s="93">
        <f t="shared" si="0"/>
        <v>6</v>
      </c>
      <c r="B57" s="53">
        <v>1</v>
      </c>
      <c r="E57" s="54"/>
      <c r="F57" s="728"/>
      <c r="G57" s="55" t="s">
        <v>71</v>
      </c>
      <c r="H57" s="56" t="s">
        <v>70</v>
      </c>
      <c r="I57" s="955">
        <v>0.1722934</v>
      </c>
      <c r="J57" s="57"/>
      <c r="K57" s="343">
        <f t="shared" si="8"/>
        <v>0</v>
      </c>
      <c r="L57" s="333">
        <v>77.3</v>
      </c>
      <c r="M57" s="57"/>
      <c r="N57" s="80">
        <f t="shared" si="7"/>
        <v>0</v>
      </c>
      <c r="O57" s="43"/>
      <c r="P57" s="127"/>
      <c r="Q57" s="41"/>
      <c r="R57" s="41"/>
      <c r="S57" s="41"/>
      <c r="T57" s="41"/>
      <c r="U57" s="41"/>
      <c r="V57" s="41"/>
      <c r="W57" s="41"/>
      <c r="X57" s="41"/>
      <c r="Y57" s="41"/>
      <c r="Z57" s="41"/>
      <c r="AA57" s="41"/>
      <c r="AB57" s="41"/>
      <c r="AC57" s="41"/>
      <c r="AD57" s="41"/>
    </row>
    <row r="58" spans="1:30" s="42" customFormat="1" ht="15" customHeight="1" hidden="1" thickBot="1">
      <c r="A58" s="93">
        <f t="shared" si="0"/>
        <v>5</v>
      </c>
      <c r="B58" s="53">
        <v>1</v>
      </c>
      <c r="E58" s="54"/>
      <c r="F58" s="728"/>
      <c r="G58" s="55" t="s">
        <v>72</v>
      </c>
      <c r="H58" s="56" t="s">
        <v>70</v>
      </c>
      <c r="I58" s="955">
        <f>42*I56</f>
        <v>6.0249630000000005</v>
      </c>
      <c r="J58" s="57"/>
      <c r="K58" s="343">
        <f t="shared" si="8"/>
        <v>0</v>
      </c>
      <c r="L58" s="333">
        <v>77.3</v>
      </c>
      <c r="M58" s="57"/>
      <c r="N58" s="80">
        <f t="shared" si="7"/>
        <v>0</v>
      </c>
      <c r="O58" s="43"/>
      <c r="P58" s="127"/>
      <c r="Q58" s="41"/>
      <c r="R58" s="41"/>
      <c r="S58" s="41"/>
      <c r="T58" s="41"/>
      <c r="U58" s="41"/>
      <c r="V58" s="41"/>
      <c r="W58" s="41"/>
      <c r="X58" s="41"/>
      <c r="Y58" s="41"/>
      <c r="Z58" s="41"/>
      <c r="AA58" s="41"/>
      <c r="AB58" s="41"/>
      <c r="AC58" s="41"/>
      <c r="AD58" s="41"/>
    </row>
    <row r="59" spans="1:30" s="42" customFormat="1" ht="15" customHeight="1" hidden="1" thickBot="1">
      <c r="A59" s="93">
        <f t="shared" si="0"/>
        <v>4</v>
      </c>
      <c r="B59" s="53">
        <v>1</v>
      </c>
      <c r="E59" s="63"/>
      <c r="F59" s="730"/>
      <c r="G59" s="55" t="s">
        <v>572</v>
      </c>
      <c r="H59" s="56" t="s">
        <v>70</v>
      </c>
      <c r="I59" s="334">
        <v>39.9535316595376</v>
      </c>
      <c r="J59" s="66"/>
      <c r="K59" s="345">
        <f t="shared" si="8"/>
        <v>0</v>
      </c>
      <c r="L59" s="333">
        <v>77.3</v>
      </c>
      <c r="M59" s="66"/>
      <c r="N59" s="80">
        <f t="shared" si="7"/>
        <v>0</v>
      </c>
      <c r="O59" s="43"/>
      <c r="P59" s="127"/>
      <c r="Q59" s="41"/>
      <c r="R59" s="41"/>
      <c r="S59" s="41"/>
      <c r="T59" s="41"/>
      <c r="U59" s="41"/>
      <c r="V59" s="41"/>
      <c r="W59" s="41"/>
      <c r="X59" s="41"/>
      <c r="Y59" s="41"/>
      <c r="Z59" s="41"/>
      <c r="AA59" s="41"/>
      <c r="AB59" s="41"/>
      <c r="AC59" s="41"/>
      <c r="AD59" s="41"/>
    </row>
    <row r="60" spans="1:30" s="42" customFormat="1" ht="15" customHeight="1" hidden="1" thickBot="1">
      <c r="A60" s="93">
        <f t="shared" si="0"/>
        <v>3</v>
      </c>
      <c r="B60" s="53">
        <v>1</v>
      </c>
      <c r="E60" s="63"/>
      <c r="F60" s="730"/>
      <c r="G60" s="64" t="s">
        <v>73</v>
      </c>
      <c r="H60" s="56" t="s">
        <v>74</v>
      </c>
      <c r="I60" s="955">
        <f>0.907*23.53</f>
        <v>21.341710000000003</v>
      </c>
      <c r="J60" s="66"/>
      <c r="K60" s="345">
        <f t="shared" si="8"/>
        <v>0</v>
      </c>
      <c r="L60" s="956">
        <v>94.53</v>
      </c>
      <c r="M60" s="66"/>
      <c r="N60" s="80">
        <f t="shared" si="7"/>
        <v>0</v>
      </c>
      <c r="O60" s="43"/>
      <c r="P60" s="127"/>
      <c r="Q60" s="41"/>
      <c r="R60" s="41"/>
      <c r="S60" s="41"/>
      <c r="T60" s="41"/>
      <c r="U60" s="41"/>
      <c r="V60" s="41"/>
      <c r="W60" s="41"/>
      <c r="X60" s="41"/>
      <c r="Y60" s="41"/>
      <c r="Z60" s="41"/>
      <c r="AA60" s="41"/>
      <c r="AB60" s="41"/>
      <c r="AC60" s="41"/>
      <c r="AD60" s="41"/>
    </row>
    <row r="61" spans="1:30" s="42" customFormat="1" ht="15" customHeight="1" hidden="1" thickBot="1">
      <c r="A61" s="93">
        <f t="shared" si="0"/>
        <v>2</v>
      </c>
      <c r="B61" s="53">
        <v>1</v>
      </c>
      <c r="E61" s="54"/>
      <c r="F61" s="728"/>
      <c r="G61" s="55" t="s">
        <v>572</v>
      </c>
      <c r="H61" s="56" t="s">
        <v>74</v>
      </c>
      <c r="I61" s="946">
        <v>23.53</v>
      </c>
      <c r="J61" s="57"/>
      <c r="K61" s="343">
        <f t="shared" si="8"/>
        <v>0</v>
      </c>
      <c r="L61" s="956">
        <v>94.53</v>
      </c>
      <c r="M61" s="57"/>
      <c r="N61" s="80">
        <f t="shared" si="7"/>
        <v>0</v>
      </c>
      <c r="O61" s="43"/>
      <c r="P61" s="127"/>
      <c r="Q61" s="41"/>
      <c r="R61" s="41"/>
      <c r="S61" s="41"/>
      <c r="T61" s="41"/>
      <c r="U61" s="41"/>
      <c r="V61" s="41"/>
      <c r="W61" s="41"/>
      <c r="X61" s="41"/>
      <c r="Y61" s="41"/>
      <c r="Z61" s="41"/>
      <c r="AA61" s="41"/>
      <c r="AB61" s="41"/>
      <c r="AC61" s="41"/>
      <c r="AD61" s="41"/>
    </row>
    <row r="62" spans="1:30" s="42" customFormat="1" ht="15" customHeight="1" hidden="1" thickBot="1">
      <c r="A62" s="93">
        <f t="shared" si="0"/>
        <v>1</v>
      </c>
      <c r="B62" s="53">
        <v>1</v>
      </c>
      <c r="E62" s="70"/>
      <c r="F62" s="731"/>
      <c r="G62" s="72"/>
      <c r="H62" s="73" t="s">
        <v>75</v>
      </c>
      <c r="I62" s="74"/>
      <c r="J62" s="75"/>
      <c r="K62" s="346">
        <f t="shared" si="8"/>
        <v>0</v>
      </c>
      <c r="L62" s="957">
        <v>1</v>
      </c>
      <c r="M62" s="76"/>
      <c r="N62" s="83">
        <f t="shared" si="7"/>
        <v>0</v>
      </c>
      <c r="O62" s="43"/>
      <c r="P62" s="127"/>
      <c r="Q62" s="41"/>
      <c r="R62" s="41"/>
      <c r="S62" s="41"/>
      <c r="T62" s="41"/>
      <c r="U62" s="41"/>
      <c r="V62" s="41"/>
      <c r="W62" s="41"/>
      <c r="X62" s="41"/>
      <c r="Y62" s="41"/>
      <c r="Z62" s="41"/>
      <c r="AA62" s="41"/>
      <c r="AB62" s="41"/>
      <c r="AC62" s="41"/>
      <c r="AD62" s="41"/>
    </row>
    <row r="63" spans="1:37" s="245" customFormat="1" ht="18" customHeight="1" thickBot="1">
      <c r="A63" s="93">
        <f t="shared" si="0"/>
        <v>10</v>
      </c>
      <c r="B63" s="129"/>
      <c r="C63" s="134"/>
      <c r="D63" s="135" t="s">
        <v>848</v>
      </c>
      <c r="E63" s="134"/>
      <c r="F63" s="726"/>
      <c r="G63" s="136"/>
      <c r="H63" s="136"/>
      <c r="I63" s="134"/>
      <c r="J63" s="134"/>
      <c r="K63" s="342">
        <f ca="1">SUM(OFFSET(K64,0,0,A64,1))</f>
        <v>0</v>
      </c>
      <c r="L63" s="134"/>
      <c r="M63" s="137"/>
      <c r="N63" s="138">
        <f ca="1">SUM(OFFSET(N64,0,0,A64,1))</f>
        <v>0</v>
      </c>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row>
    <row r="64" spans="1:30" s="42" customFormat="1" ht="15" customHeight="1" hidden="1" thickBot="1">
      <c r="A64" s="93">
        <f t="shared" si="0"/>
        <v>9</v>
      </c>
      <c r="B64" s="53">
        <v>1</v>
      </c>
      <c r="E64" s="63"/>
      <c r="F64" s="730"/>
      <c r="G64" s="64" t="s">
        <v>60</v>
      </c>
      <c r="H64" s="65" t="s">
        <v>61</v>
      </c>
      <c r="I64" s="352">
        <v>0.13020400000000001</v>
      </c>
      <c r="J64" s="66"/>
      <c r="K64" s="345">
        <f aca="true" t="shared" si="9" ref="K64:K72">F64*IF(J64=0,I64,J64)</f>
        <v>0</v>
      </c>
      <c r="L64" s="355">
        <v>69.25</v>
      </c>
      <c r="M64" s="66"/>
      <c r="N64" s="82">
        <f aca="true" t="shared" si="10" ref="N64:N72">K64*IF(M64=0,L64,M64)/1000</f>
        <v>0</v>
      </c>
      <c r="O64" s="43"/>
      <c r="P64" s="127"/>
      <c r="Q64" s="41"/>
      <c r="R64" s="41"/>
      <c r="S64" s="41"/>
      <c r="T64" s="41"/>
      <c r="U64" s="41"/>
      <c r="V64" s="41"/>
      <c r="W64" s="41"/>
      <c r="X64" s="41"/>
      <c r="Y64" s="41"/>
      <c r="Z64" s="41"/>
      <c r="AA64" s="41"/>
      <c r="AB64" s="41"/>
      <c r="AC64" s="41"/>
      <c r="AD64" s="41"/>
    </row>
    <row r="65" spans="1:30" s="42" customFormat="1" ht="15" customHeight="1" hidden="1" thickBot="1">
      <c r="A65" s="93">
        <f t="shared" si="0"/>
        <v>8</v>
      </c>
      <c r="B65" s="53">
        <v>1</v>
      </c>
      <c r="E65" s="54"/>
      <c r="F65" s="728">
        <v>0</v>
      </c>
      <c r="G65" s="55" t="s">
        <v>62</v>
      </c>
      <c r="H65" s="56" t="s">
        <v>61</v>
      </c>
      <c r="I65" s="353">
        <v>0.1563824</v>
      </c>
      <c r="J65" s="57"/>
      <c r="K65" s="343">
        <f t="shared" si="9"/>
        <v>0</v>
      </c>
      <c r="L65" s="356">
        <v>69.25</v>
      </c>
      <c r="M65" s="57"/>
      <c r="N65" s="80">
        <f t="shared" si="10"/>
        <v>0</v>
      </c>
      <c r="O65" s="43"/>
      <c r="P65" s="127"/>
      <c r="Q65" s="41"/>
      <c r="R65" s="41"/>
      <c r="S65" s="41"/>
      <c r="T65" s="41"/>
      <c r="U65" s="41"/>
      <c r="V65" s="41"/>
      <c r="W65" s="41"/>
      <c r="X65" s="41"/>
      <c r="Y65" s="41"/>
      <c r="Z65" s="41"/>
      <c r="AA65" s="41"/>
      <c r="AB65" s="41"/>
      <c r="AC65" s="41"/>
      <c r="AD65" s="41"/>
    </row>
    <row r="66" spans="1:30" s="42" customFormat="1" ht="15" customHeight="1" hidden="1" thickBot="1">
      <c r="A66" s="93">
        <f t="shared" si="0"/>
        <v>7</v>
      </c>
      <c r="B66" s="53">
        <v>1</v>
      </c>
      <c r="E66" s="54"/>
      <c r="F66" s="728"/>
      <c r="G66" s="55" t="s">
        <v>277</v>
      </c>
      <c r="H66" s="56" t="s">
        <v>61</v>
      </c>
      <c r="I66" s="353">
        <v>0.0344</v>
      </c>
      <c r="J66" s="57"/>
      <c r="K66" s="343">
        <f t="shared" si="9"/>
        <v>0</v>
      </c>
      <c r="L66" s="356">
        <v>69.25</v>
      </c>
      <c r="M66" s="57"/>
      <c r="N66" s="80">
        <f t="shared" si="10"/>
        <v>0</v>
      </c>
      <c r="O66" s="43"/>
      <c r="P66" s="127"/>
      <c r="Q66" s="41"/>
      <c r="R66" s="41"/>
      <c r="S66" s="41"/>
      <c r="T66" s="41"/>
      <c r="U66" s="41"/>
      <c r="V66" s="41"/>
      <c r="W66" s="41"/>
      <c r="X66" s="41"/>
      <c r="Y66" s="41"/>
      <c r="Z66" s="41"/>
      <c r="AA66" s="41"/>
      <c r="AB66" s="41"/>
      <c r="AC66" s="41"/>
      <c r="AD66" s="41"/>
    </row>
    <row r="67" spans="1:30" s="42" customFormat="1" ht="15" customHeight="1" hidden="1" thickBot="1">
      <c r="A67" s="93">
        <f t="shared" si="0"/>
        <v>6</v>
      </c>
      <c r="B67" s="53">
        <v>1</v>
      </c>
      <c r="E67" s="59"/>
      <c r="F67" s="729"/>
      <c r="G67" s="60" t="s">
        <v>572</v>
      </c>
      <c r="H67" s="61" t="s">
        <v>61</v>
      </c>
      <c r="I67" s="354">
        <v>43.56739773101807</v>
      </c>
      <c r="J67" s="62"/>
      <c r="K67" s="344">
        <f t="shared" si="9"/>
        <v>0</v>
      </c>
      <c r="L67" s="357">
        <v>69.25</v>
      </c>
      <c r="M67" s="62"/>
      <c r="N67" s="80">
        <f t="shared" si="10"/>
        <v>0</v>
      </c>
      <c r="O67" s="43"/>
      <c r="P67" s="127"/>
      <c r="Q67" s="41"/>
      <c r="R67" s="41"/>
      <c r="S67" s="41"/>
      <c r="T67" s="41"/>
      <c r="U67" s="41"/>
      <c r="V67" s="41"/>
      <c r="W67" s="41"/>
      <c r="X67" s="41"/>
      <c r="Y67" s="41"/>
      <c r="Z67" s="41"/>
      <c r="AA67" s="41"/>
      <c r="AB67" s="41"/>
      <c r="AC67" s="41"/>
      <c r="AD67" s="41"/>
    </row>
    <row r="68" spans="1:30" s="42" customFormat="1" ht="15" customHeight="1" hidden="1" thickBot="1">
      <c r="A68" s="93">
        <f t="shared" si="0"/>
        <v>5</v>
      </c>
      <c r="B68" s="53">
        <v>1</v>
      </c>
      <c r="E68" s="63"/>
      <c r="F68" s="730">
        <v>0</v>
      </c>
      <c r="G68" s="64" t="s">
        <v>60</v>
      </c>
      <c r="H68" s="65" t="s">
        <v>76</v>
      </c>
      <c r="I68" s="353">
        <v>0.13657762237762236</v>
      </c>
      <c r="J68" s="66"/>
      <c r="K68" s="345">
        <f t="shared" si="9"/>
        <v>0</v>
      </c>
      <c r="L68" s="356">
        <v>70.72</v>
      </c>
      <c r="M68" s="66"/>
      <c r="N68" s="80">
        <f t="shared" si="10"/>
        <v>0</v>
      </c>
      <c r="O68" s="43"/>
      <c r="P68" s="127"/>
      <c r="Q68" s="41"/>
      <c r="R68" s="41"/>
      <c r="S68" s="41"/>
      <c r="T68" s="41"/>
      <c r="U68" s="41"/>
      <c r="V68" s="41"/>
      <c r="W68" s="41"/>
      <c r="X68" s="41"/>
      <c r="Y68" s="41"/>
      <c r="Z68" s="41"/>
      <c r="AA68" s="41"/>
      <c r="AB68" s="41"/>
      <c r="AC68" s="41"/>
      <c r="AD68" s="41"/>
    </row>
    <row r="69" spans="1:30" s="42" customFormat="1" ht="15" customHeight="1" hidden="1" thickBot="1">
      <c r="A69" s="93">
        <f t="shared" si="0"/>
        <v>4</v>
      </c>
      <c r="B69" s="53">
        <v>1</v>
      </c>
      <c r="E69" s="54"/>
      <c r="F69" s="728"/>
      <c r="G69" s="55" t="s">
        <v>62</v>
      </c>
      <c r="H69" s="56" t="s">
        <v>76</v>
      </c>
      <c r="I69" s="353">
        <v>0.16078993006993006</v>
      </c>
      <c r="J69" s="57"/>
      <c r="K69" s="343">
        <f t="shared" si="9"/>
        <v>0</v>
      </c>
      <c r="L69" s="356">
        <v>70.72</v>
      </c>
      <c r="M69" s="57"/>
      <c r="N69" s="80">
        <f t="shared" si="10"/>
        <v>0</v>
      </c>
      <c r="O69" s="43"/>
      <c r="P69" s="127"/>
      <c r="Q69" s="41"/>
      <c r="R69" s="41"/>
      <c r="S69" s="41"/>
      <c r="T69" s="41"/>
      <c r="U69" s="41"/>
      <c r="V69" s="41"/>
      <c r="W69" s="41"/>
      <c r="X69" s="41"/>
      <c r="Y69" s="41"/>
      <c r="Z69" s="41"/>
      <c r="AA69" s="41"/>
      <c r="AB69" s="41"/>
      <c r="AC69" s="41"/>
      <c r="AD69" s="41"/>
    </row>
    <row r="70" spans="1:30" s="42" customFormat="1" ht="15" customHeight="1" hidden="1" thickBot="1">
      <c r="A70" s="93">
        <f t="shared" si="0"/>
        <v>3</v>
      </c>
      <c r="B70" s="53">
        <v>1</v>
      </c>
      <c r="E70" s="54"/>
      <c r="F70" s="728"/>
      <c r="G70" s="55" t="s">
        <v>277</v>
      </c>
      <c r="H70" s="56" t="s">
        <v>76</v>
      </c>
      <c r="I70" s="353">
        <v>0.036083916083916076</v>
      </c>
      <c r="J70" s="57"/>
      <c r="K70" s="343">
        <f t="shared" si="9"/>
        <v>0</v>
      </c>
      <c r="L70" s="356">
        <v>70.72</v>
      </c>
      <c r="M70" s="57"/>
      <c r="N70" s="80">
        <f t="shared" si="10"/>
        <v>0</v>
      </c>
      <c r="O70" s="43"/>
      <c r="P70" s="127"/>
      <c r="Q70" s="41"/>
      <c r="R70" s="41"/>
      <c r="S70" s="41"/>
      <c r="T70" s="41"/>
      <c r="U70" s="41"/>
      <c r="V70" s="41"/>
      <c r="W70" s="41"/>
      <c r="X70" s="41"/>
      <c r="Y70" s="41"/>
      <c r="Z70" s="41"/>
      <c r="AA70" s="41"/>
      <c r="AB70" s="41"/>
      <c r="AC70" s="41"/>
      <c r="AD70" s="41"/>
    </row>
    <row r="71" spans="1:30" s="42" customFormat="1" ht="15" customHeight="1" hidden="1" thickBot="1">
      <c r="A71" s="93">
        <f t="shared" si="0"/>
        <v>2</v>
      </c>
      <c r="B71" s="53">
        <v>1</v>
      </c>
      <c r="E71" s="59"/>
      <c r="F71" s="729"/>
      <c r="G71" s="60" t="s">
        <v>572</v>
      </c>
      <c r="H71" s="61" t="s">
        <v>76</v>
      </c>
      <c r="I71" s="354">
        <v>44.59</v>
      </c>
      <c r="J71" s="62"/>
      <c r="K71" s="344">
        <f t="shared" si="9"/>
        <v>0</v>
      </c>
      <c r="L71" s="357">
        <v>70.72</v>
      </c>
      <c r="M71" s="62"/>
      <c r="N71" s="80">
        <f t="shared" si="10"/>
        <v>0</v>
      </c>
      <c r="O71" s="43"/>
      <c r="P71" s="127"/>
      <c r="Q71" s="41"/>
      <c r="R71" s="41"/>
      <c r="S71" s="41"/>
      <c r="T71" s="41"/>
      <c r="U71" s="41"/>
      <c r="V71" s="41"/>
      <c r="W71" s="41"/>
      <c r="X71" s="41"/>
      <c r="Y71" s="41"/>
      <c r="Z71" s="41"/>
      <c r="AA71" s="41"/>
      <c r="AB71" s="41"/>
      <c r="AC71" s="41"/>
      <c r="AD71" s="41"/>
    </row>
    <row r="72" spans="1:30" s="42" customFormat="1" ht="15" customHeight="1" hidden="1" thickBot="1">
      <c r="A72" s="93">
        <f t="shared" si="0"/>
        <v>1</v>
      </c>
      <c r="B72" s="53">
        <v>1</v>
      </c>
      <c r="E72" s="359"/>
      <c r="F72" s="728"/>
      <c r="G72" s="276"/>
      <c r="H72" s="360" t="s">
        <v>75</v>
      </c>
      <c r="I72" s="358"/>
      <c r="J72" s="57"/>
      <c r="K72" s="343">
        <f t="shared" si="9"/>
        <v>0</v>
      </c>
      <c r="L72" s="58">
        <v>1</v>
      </c>
      <c r="M72" s="360"/>
      <c r="N72" s="80">
        <f t="shared" si="10"/>
        <v>0</v>
      </c>
      <c r="O72" s="43"/>
      <c r="P72" s="127"/>
      <c r="Q72" s="41"/>
      <c r="R72" s="41"/>
      <c r="S72" s="41"/>
      <c r="T72" s="41"/>
      <c r="U72" s="41"/>
      <c r="V72" s="41"/>
      <c r="W72" s="41"/>
      <c r="X72" s="41"/>
      <c r="Y72" s="41"/>
      <c r="Z72" s="41"/>
      <c r="AA72" s="41"/>
      <c r="AB72" s="41"/>
      <c r="AC72" s="41"/>
      <c r="AD72" s="41"/>
    </row>
    <row r="73" spans="1:30" s="42" customFormat="1" ht="9" customHeight="1" hidden="1" thickBot="1">
      <c r="A73" s="93">
        <f t="shared" si="0"/>
        <v>1</v>
      </c>
      <c r="B73" s="53"/>
      <c r="D73" s="92" t="s">
        <v>77</v>
      </c>
      <c r="E73" s="78"/>
      <c r="F73" s="732"/>
      <c r="G73" s="88"/>
      <c r="H73" s="41"/>
      <c r="I73" s="89"/>
      <c r="J73" s="90"/>
      <c r="K73" s="347"/>
      <c r="L73" s="41"/>
      <c r="M73" s="41"/>
      <c r="N73" s="91"/>
      <c r="O73" s="43"/>
      <c r="P73" s="127"/>
      <c r="Q73" s="41"/>
      <c r="R73" s="41"/>
      <c r="S73" s="41"/>
      <c r="T73" s="41"/>
      <c r="U73" s="41"/>
      <c r="V73" s="41"/>
      <c r="W73" s="41"/>
      <c r="X73" s="41"/>
      <c r="Y73" s="41"/>
      <c r="Z73" s="41"/>
      <c r="AA73" s="41"/>
      <c r="AB73" s="41"/>
      <c r="AC73" s="41"/>
      <c r="AD73" s="41"/>
    </row>
    <row r="74" spans="1:37" s="245" customFormat="1" ht="20.25" customHeight="1" thickBot="1">
      <c r="A74" s="93">
        <f aca="true" t="shared" si="11" ref="A74:A137">IF(ISTEXT(D75),1,1+A75)</f>
        <v>1</v>
      </c>
      <c r="B74" s="129"/>
      <c r="C74" s="134"/>
      <c r="D74" s="135" t="s">
        <v>78</v>
      </c>
      <c r="E74" s="529"/>
      <c r="F74" s="726"/>
      <c r="G74" s="134"/>
      <c r="H74" s="134"/>
      <c r="I74" s="136"/>
      <c r="J74" s="134"/>
      <c r="K74" s="530">
        <f>(SUM(K13:K73)+K11)/2</f>
        <v>0</v>
      </c>
      <c r="L74" s="134"/>
      <c r="M74" s="134"/>
      <c r="N74" s="530">
        <f>(SUM(N13:N73)+N11)/2</f>
        <v>0</v>
      </c>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row>
    <row r="75" spans="1:37" s="639" customFormat="1" ht="20.25" customHeight="1" thickBot="1">
      <c r="A75" s="93">
        <f t="shared" si="11"/>
        <v>530</v>
      </c>
      <c r="B75" s="632"/>
      <c r="C75" s="633"/>
      <c r="D75" s="634" t="s">
        <v>79</v>
      </c>
      <c r="E75" s="633"/>
      <c r="F75" s="733"/>
      <c r="G75" s="635"/>
      <c r="H75" s="635"/>
      <c r="I75" s="633"/>
      <c r="J75" s="633"/>
      <c r="K75" s="636"/>
      <c r="L75" s="633"/>
      <c r="M75" s="637"/>
      <c r="N75" s="638"/>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row>
    <row r="76" spans="1:30" ht="15" customHeight="1" hidden="1" thickBot="1">
      <c r="A76" s="93">
        <f t="shared" si="11"/>
        <v>529</v>
      </c>
      <c r="E76" s="927" t="s">
        <v>585</v>
      </c>
      <c r="F76" s="928"/>
      <c r="G76" s="927"/>
      <c r="H76" s="927"/>
      <c r="I76" s="927"/>
      <c r="N76" s="84"/>
      <c r="O76" s="18"/>
      <c r="P76" s="125"/>
      <c r="Q76" s="16"/>
      <c r="R76" s="16"/>
      <c r="S76" s="16"/>
      <c r="T76" s="16"/>
      <c r="U76" s="16"/>
      <c r="V76" s="16"/>
      <c r="W76" s="16"/>
      <c r="X76" s="16"/>
      <c r="Y76" s="16"/>
      <c r="Z76" s="16"/>
      <c r="AA76" s="16"/>
      <c r="AB76" s="16"/>
      <c r="AC76" s="16"/>
      <c r="AD76" s="16"/>
    </row>
    <row r="77" spans="1:11" s="15" customFormat="1" ht="15" customHeight="1" hidden="1" thickBot="1">
      <c r="A77" s="93">
        <f t="shared" si="11"/>
        <v>528</v>
      </c>
      <c r="E77" s="205"/>
      <c r="F77" s="734"/>
      <c r="G77"/>
      <c r="H77"/>
      <c r="I77"/>
      <c r="J77"/>
      <c r="K77" s="349"/>
    </row>
    <row r="78" spans="1:12" s="15" customFormat="1" ht="15" customHeight="1" hidden="1" thickBot="1">
      <c r="A78" s="93">
        <f t="shared" si="11"/>
        <v>527</v>
      </c>
      <c r="E78" s="753" t="s">
        <v>295</v>
      </c>
      <c r="F78" s="754"/>
      <c r="G78" s="768"/>
      <c r="H78" s="767"/>
      <c r="I78" s="767"/>
      <c r="J78" s="767"/>
      <c r="K78" s="767"/>
      <c r="L78" s="985"/>
    </row>
    <row r="79" spans="1:12" s="15" customFormat="1" ht="15" customHeight="1" hidden="1" thickBot="1">
      <c r="A79" s="93">
        <f t="shared" si="11"/>
        <v>526</v>
      </c>
      <c r="E79" s="753"/>
      <c r="F79" s="756" t="s">
        <v>927</v>
      </c>
      <c r="G79" s="980"/>
      <c r="H79" s="770"/>
      <c r="I79" s="770"/>
      <c r="J79" s="770"/>
      <c r="K79" s="770"/>
      <c r="L79" s="986"/>
    </row>
    <row r="80" spans="1:12" s="15" customFormat="1" ht="15" customHeight="1" hidden="1" thickBot="1">
      <c r="A80" s="93">
        <f t="shared" si="11"/>
        <v>525</v>
      </c>
      <c r="E80" s="753"/>
      <c r="F80" s="756"/>
      <c r="G80" s="980"/>
      <c r="H80" s="770"/>
      <c r="I80" s="770"/>
      <c r="J80" s="770"/>
      <c r="K80" s="770"/>
      <c r="L80" s="986"/>
    </row>
    <row r="81" spans="1:12" s="15" customFormat="1" ht="15" customHeight="1" hidden="1" thickBot="1">
      <c r="A81" s="93">
        <f t="shared" si="11"/>
        <v>524</v>
      </c>
      <c r="E81" s="959" t="s">
        <v>581</v>
      </c>
      <c r="F81" s="757">
        <v>69.25</v>
      </c>
      <c r="G81" s="988"/>
      <c r="H81" s="987"/>
      <c r="I81" s="987"/>
      <c r="J81" s="981"/>
      <c r="K81" s="987"/>
      <c r="L81" s="982"/>
    </row>
    <row r="82" spans="1:14" ht="15" customHeight="1" hidden="1" thickBot="1">
      <c r="A82" s="93">
        <f t="shared" si="11"/>
        <v>523</v>
      </c>
      <c r="E82" s="959" t="s">
        <v>582</v>
      </c>
      <c r="F82" s="757">
        <v>71.45</v>
      </c>
      <c r="G82" s="988"/>
      <c r="H82" s="987"/>
      <c r="I82" s="987"/>
      <c r="J82" s="981"/>
      <c r="K82" s="987"/>
      <c r="L82" s="982"/>
      <c r="N82" s="17"/>
    </row>
    <row r="83" spans="1:14" ht="15" customHeight="1" hidden="1" thickBot="1">
      <c r="A83" s="93">
        <f t="shared" si="11"/>
        <v>522</v>
      </c>
      <c r="E83" s="960" t="s">
        <v>583</v>
      </c>
      <c r="F83" s="757" t="s">
        <v>584</v>
      </c>
      <c r="G83" s="988"/>
      <c r="H83" s="981"/>
      <c r="I83" s="981"/>
      <c r="J83" s="981"/>
      <c r="K83" s="989"/>
      <c r="L83" s="982"/>
      <c r="N83" s="17"/>
    </row>
    <row r="84" spans="1:14" ht="15" customHeight="1" hidden="1" thickBot="1">
      <c r="A84" s="93">
        <f t="shared" si="11"/>
        <v>521</v>
      </c>
      <c r="E84" s="960" t="s">
        <v>592</v>
      </c>
      <c r="F84" s="757" t="s">
        <v>593</v>
      </c>
      <c r="G84" s="988"/>
      <c r="H84" s="987"/>
      <c r="I84" s="987"/>
      <c r="J84" s="981"/>
      <c r="K84" s="981"/>
      <c r="L84" s="982"/>
      <c r="N84" s="17"/>
    </row>
    <row r="85" spans="1:14" ht="15" customHeight="1" hidden="1" thickBot="1">
      <c r="A85" s="93">
        <f t="shared" si="11"/>
        <v>520</v>
      </c>
      <c r="E85" s="960" t="s">
        <v>65</v>
      </c>
      <c r="F85" s="757">
        <v>74.01</v>
      </c>
      <c r="G85" s="988"/>
      <c r="H85" s="987"/>
      <c r="I85" s="987"/>
      <c r="J85" s="981"/>
      <c r="K85" s="987"/>
      <c r="L85" s="982"/>
      <c r="N85" s="17"/>
    </row>
    <row r="86" spans="1:14" ht="15" customHeight="1" hidden="1" thickBot="1">
      <c r="A86" s="93">
        <f t="shared" si="11"/>
        <v>519</v>
      </c>
      <c r="E86" s="959" t="s">
        <v>594</v>
      </c>
      <c r="F86" s="757">
        <v>74.01</v>
      </c>
      <c r="G86" s="988"/>
      <c r="H86" s="987"/>
      <c r="I86" s="987"/>
      <c r="J86" s="981"/>
      <c r="K86" s="987"/>
      <c r="L86" s="982"/>
      <c r="N86" s="17"/>
    </row>
    <row r="87" spans="1:18" ht="15" customHeight="1" hidden="1" thickBot="1">
      <c r="A87" s="93">
        <f t="shared" si="11"/>
        <v>518</v>
      </c>
      <c r="E87" s="959" t="s">
        <v>595</v>
      </c>
      <c r="F87" s="757">
        <v>74.01</v>
      </c>
      <c r="G87" s="988"/>
      <c r="H87" s="987"/>
      <c r="I87" s="987"/>
      <c r="J87" s="981"/>
      <c r="K87" s="987"/>
      <c r="L87" s="982"/>
      <c r="M87" s="15"/>
      <c r="N87" s="15"/>
      <c r="O87" s="15"/>
      <c r="P87" s="15"/>
      <c r="Q87" s="15"/>
      <c r="R87" s="15"/>
    </row>
    <row r="88" spans="1:18" ht="15" customHeight="1" hidden="1" thickBot="1">
      <c r="A88" s="93">
        <f t="shared" si="11"/>
        <v>517</v>
      </c>
      <c r="E88" s="959" t="s">
        <v>819</v>
      </c>
      <c r="F88" s="757">
        <v>74.01</v>
      </c>
      <c r="G88" s="988"/>
      <c r="H88" s="987"/>
      <c r="I88" s="987"/>
      <c r="J88" s="981"/>
      <c r="K88" s="987"/>
      <c r="L88" s="982"/>
      <c r="M88" s="15"/>
      <c r="N88" s="15"/>
      <c r="O88" s="15"/>
      <c r="P88" s="15"/>
      <c r="Q88" s="15"/>
      <c r="R88" s="15"/>
    </row>
    <row r="89" spans="1:18" ht="15" customHeight="1" hidden="1" thickBot="1">
      <c r="A89" s="93">
        <f t="shared" si="11"/>
        <v>516</v>
      </c>
      <c r="E89" s="959" t="s">
        <v>821</v>
      </c>
      <c r="F89" s="757">
        <v>77.3</v>
      </c>
      <c r="G89" s="988"/>
      <c r="H89" s="987"/>
      <c r="I89" s="987"/>
      <c r="J89" s="981"/>
      <c r="K89" s="987"/>
      <c r="L89" s="982"/>
      <c r="M89" s="15"/>
      <c r="N89" s="15"/>
      <c r="O89" s="15"/>
      <c r="P89" s="15"/>
      <c r="Q89" s="15"/>
      <c r="R89" s="15"/>
    </row>
    <row r="90" spans="1:15" ht="15" customHeight="1" hidden="1" thickBot="1">
      <c r="A90" s="93">
        <f t="shared" si="11"/>
        <v>515</v>
      </c>
      <c r="E90" s="959" t="s">
        <v>820</v>
      </c>
      <c r="F90" s="757">
        <v>77.3</v>
      </c>
      <c r="G90" s="988"/>
      <c r="H90" s="987"/>
      <c r="I90" s="987"/>
      <c r="J90" s="981"/>
      <c r="K90" s="987"/>
      <c r="L90" s="982"/>
      <c r="N90" s="17"/>
      <c r="O90" s="85"/>
    </row>
    <row r="91" spans="1:15" ht="15" customHeight="1" hidden="1" thickBot="1">
      <c r="A91" s="93">
        <f t="shared" si="11"/>
        <v>514</v>
      </c>
      <c r="E91" s="959" t="s">
        <v>69</v>
      </c>
      <c r="F91" s="757">
        <v>63.2</v>
      </c>
      <c r="G91" s="988"/>
      <c r="H91" s="987"/>
      <c r="I91" s="987"/>
      <c r="J91" s="981"/>
      <c r="K91" s="987"/>
      <c r="L91" s="982"/>
      <c r="N91" s="17"/>
      <c r="O91" s="85"/>
    </row>
    <row r="92" spans="1:15" ht="15" customHeight="1" hidden="1" thickBot="1">
      <c r="A92" s="93">
        <f t="shared" si="11"/>
        <v>513</v>
      </c>
      <c r="E92" s="961" t="s">
        <v>596</v>
      </c>
      <c r="F92" s="757">
        <v>73.28</v>
      </c>
      <c r="G92" s="988"/>
      <c r="H92" s="981"/>
      <c r="I92" s="981"/>
      <c r="J92" s="981"/>
      <c r="K92" s="981"/>
      <c r="L92" s="982"/>
      <c r="N92" s="17"/>
      <c r="O92" s="85"/>
    </row>
    <row r="93" spans="1:15" ht="15" customHeight="1" hidden="1" thickBot="1">
      <c r="A93" s="93">
        <f t="shared" si="11"/>
        <v>512</v>
      </c>
      <c r="E93" s="961" t="s">
        <v>597</v>
      </c>
      <c r="F93" s="757">
        <v>98.3</v>
      </c>
      <c r="G93" s="988"/>
      <c r="H93" s="981"/>
      <c r="I93" s="981"/>
      <c r="J93" s="981"/>
      <c r="K93" s="989"/>
      <c r="L93" s="982"/>
      <c r="N93" s="17"/>
      <c r="O93" s="85"/>
    </row>
    <row r="94" spans="1:15" ht="15" customHeight="1" hidden="1" thickBot="1">
      <c r="A94" s="93">
        <f t="shared" si="11"/>
        <v>511</v>
      </c>
      <c r="E94" s="961" t="s">
        <v>598</v>
      </c>
      <c r="F94" s="757">
        <v>94.53</v>
      </c>
      <c r="G94" s="988"/>
      <c r="H94" s="981"/>
      <c r="I94" s="981"/>
      <c r="J94" s="981"/>
      <c r="K94" s="989"/>
      <c r="L94" s="982"/>
      <c r="N94" s="17"/>
      <c r="O94" s="85"/>
    </row>
    <row r="95" spans="1:15" ht="15" customHeight="1" hidden="1" thickBot="1">
      <c r="A95" s="93">
        <f t="shared" si="11"/>
        <v>510</v>
      </c>
      <c r="E95" s="961" t="s">
        <v>805</v>
      </c>
      <c r="F95" s="760"/>
      <c r="G95" s="988"/>
      <c r="H95" s="981"/>
      <c r="I95" s="981"/>
      <c r="J95" s="981"/>
      <c r="K95" s="981"/>
      <c r="L95" s="982"/>
      <c r="N95" s="17"/>
      <c r="O95" s="85"/>
    </row>
    <row r="96" spans="1:15" ht="15" customHeight="1" hidden="1" thickBot="1">
      <c r="A96" s="93">
        <f t="shared" si="11"/>
        <v>509</v>
      </c>
      <c r="E96" s="961" t="s">
        <v>406</v>
      </c>
      <c r="F96" s="757" t="s">
        <v>807</v>
      </c>
      <c r="G96" s="988"/>
      <c r="H96" s="981"/>
      <c r="I96" s="981"/>
      <c r="J96" s="981"/>
      <c r="K96" s="987"/>
      <c r="L96" s="982"/>
      <c r="N96" s="17"/>
      <c r="O96" s="85"/>
    </row>
    <row r="97" spans="1:15" ht="15" customHeight="1" hidden="1" thickBot="1">
      <c r="A97" s="93">
        <f t="shared" si="11"/>
        <v>508</v>
      </c>
      <c r="E97" s="961" t="s">
        <v>824</v>
      </c>
      <c r="F97" s="757">
        <v>96</v>
      </c>
      <c r="G97" s="988"/>
      <c r="H97" s="981"/>
      <c r="I97" s="981"/>
      <c r="J97" s="981"/>
      <c r="K97" s="990"/>
      <c r="L97" s="982"/>
      <c r="N97" s="17"/>
      <c r="O97" s="85"/>
    </row>
    <row r="98" spans="1:15" ht="15" customHeight="1" hidden="1" thickBot="1">
      <c r="A98" s="93">
        <f t="shared" si="11"/>
        <v>507</v>
      </c>
      <c r="E98" s="961" t="s">
        <v>826</v>
      </c>
      <c r="F98" s="757" t="s">
        <v>825</v>
      </c>
      <c r="G98" s="988"/>
      <c r="H98" s="981"/>
      <c r="I98" s="981"/>
      <c r="J98" s="981"/>
      <c r="K98" s="981"/>
      <c r="L98" s="982"/>
      <c r="N98" s="17"/>
      <c r="O98" s="85"/>
    </row>
    <row r="99" spans="1:15" ht="15" customHeight="1" hidden="1" thickBot="1">
      <c r="A99" s="93">
        <f t="shared" si="11"/>
        <v>506</v>
      </c>
      <c r="E99" s="961" t="s">
        <v>809</v>
      </c>
      <c r="F99" s="930">
        <v>56.06</v>
      </c>
      <c r="G99" s="983"/>
      <c r="H99" s="984"/>
      <c r="I99" s="984"/>
      <c r="J99" s="984"/>
      <c r="K99" s="984"/>
      <c r="L99" s="982"/>
      <c r="N99" s="17"/>
      <c r="O99" s="85"/>
    </row>
    <row r="100" spans="1:12" ht="15" customHeight="1" hidden="1" thickBot="1">
      <c r="A100" s="93">
        <f t="shared" si="11"/>
        <v>505</v>
      </c>
      <c r="E100" s="962"/>
      <c r="F100" s="929"/>
      <c r="G100" s="991"/>
      <c r="H100" s="16"/>
      <c r="I100" s="16"/>
      <c r="J100" s="16"/>
      <c r="K100" s="992"/>
      <c r="L100" s="16"/>
    </row>
    <row r="101" spans="1:5" ht="15" customHeight="1" hidden="1" thickBot="1">
      <c r="A101" s="93">
        <f t="shared" si="11"/>
        <v>504</v>
      </c>
      <c r="E101" s="963"/>
    </row>
    <row r="102" ht="15" customHeight="1" hidden="1" thickBot="1">
      <c r="A102" s="93">
        <f t="shared" si="11"/>
        <v>503</v>
      </c>
    </row>
    <row r="103" ht="15" customHeight="1" hidden="1" thickBot="1">
      <c r="A103" s="93">
        <f t="shared" si="11"/>
        <v>502</v>
      </c>
    </row>
    <row r="104" ht="15" customHeight="1" hidden="1" thickBot="1">
      <c r="A104" s="93">
        <f t="shared" si="11"/>
        <v>501</v>
      </c>
    </row>
    <row r="105" ht="15" customHeight="1" hidden="1" thickBot="1">
      <c r="A105" s="93">
        <f t="shared" si="11"/>
        <v>500</v>
      </c>
    </row>
    <row r="106" spans="1:9" ht="15" customHeight="1" hidden="1" thickBot="1">
      <c r="A106" s="93">
        <f t="shared" si="11"/>
        <v>499</v>
      </c>
      <c r="I106" s="984"/>
    </row>
    <row r="107" ht="15" customHeight="1" hidden="1" thickBot="1">
      <c r="A107" s="93">
        <f t="shared" si="11"/>
        <v>498</v>
      </c>
    </row>
    <row r="108" ht="15" customHeight="1" hidden="1" thickBot="1">
      <c r="A108" s="93">
        <f t="shared" si="11"/>
        <v>497</v>
      </c>
    </row>
    <row r="109" ht="15" customHeight="1" hidden="1" thickBot="1">
      <c r="A109" s="93">
        <f t="shared" si="11"/>
        <v>496</v>
      </c>
    </row>
    <row r="110" ht="15" customHeight="1" hidden="1" thickBot="1">
      <c r="A110" s="93">
        <f t="shared" si="11"/>
        <v>495</v>
      </c>
    </row>
    <row r="111" ht="15" customHeight="1" hidden="1" thickBot="1">
      <c r="A111" s="93">
        <f t="shared" si="11"/>
        <v>494</v>
      </c>
    </row>
    <row r="112" ht="15" customHeight="1" hidden="1" thickBot="1">
      <c r="A112" s="93">
        <f t="shared" si="11"/>
        <v>493</v>
      </c>
    </row>
    <row r="113" ht="15" customHeight="1" hidden="1" thickBot="1">
      <c r="A113" s="93">
        <f t="shared" si="11"/>
        <v>492</v>
      </c>
    </row>
    <row r="114" ht="15" customHeight="1" hidden="1" thickBot="1">
      <c r="A114" s="93">
        <f t="shared" si="11"/>
        <v>491</v>
      </c>
    </row>
    <row r="115" ht="15" customHeight="1" hidden="1" thickBot="1">
      <c r="A115" s="93">
        <f t="shared" si="11"/>
        <v>490</v>
      </c>
    </row>
    <row r="116" ht="15" customHeight="1" hidden="1" thickBot="1">
      <c r="A116" s="93">
        <f t="shared" si="11"/>
        <v>489</v>
      </c>
    </row>
    <row r="117" ht="15" customHeight="1" hidden="1" thickBot="1">
      <c r="A117" s="93">
        <f t="shared" si="11"/>
        <v>488</v>
      </c>
    </row>
    <row r="118" ht="15" customHeight="1" hidden="1" thickBot="1">
      <c r="A118" s="93">
        <f t="shared" si="11"/>
        <v>487</v>
      </c>
    </row>
    <row r="119" ht="15" customHeight="1" hidden="1" thickBot="1">
      <c r="A119" s="93">
        <f t="shared" si="11"/>
        <v>486</v>
      </c>
    </row>
    <row r="120" ht="15" customHeight="1" hidden="1" thickBot="1">
      <c r="A120" s="93">
        <f t="shared" si="11"/>
        <v>485</v>
      </c>
    </row>
    <row r="121" ht="15" customHeight="1" hidden="1" thickBot="1">
      <c r="A121" s="93">
        <f t="shared" si="11"/>
        <v>484</v>
      </c>
    </row>
    <row r="122" ht="15" customHeight="1" hidden="1" thickBot="1">
      <c r="A122" s="93">
        <f t="shared" si="11"/>
        <v>483</v>
      </c>
    </row>
    <row r="123" ht="15" customHeight="1" hidden="1" thickBot="1">
      <c r="A123" s="93">
        <f t="shared" si="11"/>
        <v>482</v>
      </c>
    </row>
    <row r="124" ht="15" customHeight="1" hidden="1" thickBot="1">
      <c r="A124" s="93">
        <f t="shared" si="11"/>
        <v>481</v>
      </c>
    </row>
    <row r="125" ht="15" customHeight="1" hidden="1" thickBot="1">
      <c r="A125" s="93">
        <f t="shared" si="11"/>
        <v>480</v>
      </c>
    </row>
    <row r="126" ht="15" customHeight="1" hidden="1" thickBot="1">
      <c r="A126" s="93">
        <f t="shared" si="11"/>
        <v>479</v>
      </c>
    </row>
    <row r="127" ht="15" customHeight="1" hidden="1" thickBot="1">
      <c r="A127" s="93">
        <f t="shared" si="11"/>
        <v>478</v>
      </c>
    </row>
    <row r="128" ht="15" customHeight="1" hidden="1" thickBot="1">
      <c r="A128" s="93">
        <f t="shared" si="11"/>
        <v>477</v>
      </c>
    </row>
    <row r="129" ht="15" customHeight="1" hidden="1" thickBot="1">
      <c r="A129" s="93">
        <f t="shared" si="11"/>
        <v>476</v>
      </c>
    </row>
    <row r="130" ht="15" customHeight="1" hidden="1" thickBot="1">
      <c r="A130" s="93">
        <f t="shared" si="11"/>
        <v>475</v>
      </c>
    </row>
    <row r="131" ht="15" customHeight="1" hidden="1" thickBot="1">
      <c r="A131" s="93">
        <f t="shared" si="11"/>
        <v>474</v>
      </c>
    </row>
    <row r="132" ht="15" customHeight="1" hidden="1" thickBot="1">
      <c r="A132" s="93">
        <f t="shared" si="11"/>
        <v>473</v>
      </c>
    </row>
    <row r="133" ht="15" customHeight="1" hidden="1" thickBot="1">
      <c r="A133" s="93">
        <f t="shared" si="11"/>
        <v>472</v>
      </c>
    </row>
    <row r="134" ht="15" customHeight="1" hidden="1" thickBot="1">
      <c r="A134" s="93">
        <f t="shared" si="11"/>
        <v>471</v>
      </c>
    </row>
    <row r="135" ht="15" customHeight="1" hidden="1" thickBot="1">
      <c r="A135" s="93">
        <f t="shared" si="11"/>
        <v>470</v>
      </c>
    </row>
    <row r="136" ht="15" customHeight="1" hidden="1" thickBot="1">
      <c r="A136" s="93">
        <f t="shared" si="11"/>
        <v>469</v>
      </c>
    </row>
    <row r="137" ht="15" customHeight="1" hidden="1" thickBot="1">
      <c r="A137" s="93">
        <f t="shared" si="11"/>
        <v>468</v>
      </c>
    </row>
    <row r="138" ht="15" customHeight="1" hidden="1" thickBot="1">
      <c r="A138" s="93">
        <f aca="true" t="shared" si="12" ref="A138:A201">IF(ISTEXT(D139),1,1+A139)</f>
        <v>467</v>
      </c>
    </row>
    <row r="139" ht="15" customHeight="1" hidden="1" thickBot="1">
      <c r="A139" s="93">
        <f t="shared" si="12"/>
        <v>466</v>
      </c>
    </row>
    <row r="140" ht="15" customHeight="1" hidden="1" thickBot="1">
      <c r="A140" s="93">
        <f t="shared" si="12"/>
        <v>465</v>
      </c>
    </row>
    <row r="141" ht="15" customHeight="1" hidden="1" thickBot="1">
      <c r="A141" s="93">
        <f t="shared" si="12"/>
        <v>464</v>
      </c>
    </row>
    <row r="142" ht="15" customHeight="1" hidden="1" thickBot="1">
      <c r="A142" s="93">
        <f t="shared" si="12"/>
        <v>463</v>
      </c>
    </row>
    <row r="143" ht="15" customHeight="1" hidden="1" thickBot="1">
      <c r="A143" s="93">
        <f t="shared" si="12"/>
        <v>462</v>
      </c>
    </row>
    <row r="144" ht="15" customHeight="1" hidden="1" thickBot="1">
      <c r="A144" s="93">
        <f t="shared" si="12"/>
        <v>461</v>
      </c>
    </row>
    <row r="145" ht="15" customHeight="1" hidden="1" thickBot="1">
      <c r="A145" s="93">
        <f t="shared" si="12"/>
        <v>460</v>
      </c>
    </row>
    <row r="146" ht="15" customHeight="1" hidden="1" thickBot="1">
      <c r="A146" s="93">
        <f t="shared" si="12"/>
        <v>459</v>
      </c>
    </row>
    <row r="147" ht="15" customHeight="1" hidden="1" thickBot="1">
      <c r="A147" s="93">
        <f t="shared" si="12"/>
        <v>458</v>
      </c>
    </row>
    <row r="148" ht="15" customHeight="1" hidden="1" thickBot="1">
      <c r="A148" s="93">
        <f t="shared" si="12"/>
        <v>457</v>
      </c>
    </row>
    <row r="149" ht="15" customHeight="1" hidden="1" thickBot="1">
      <c r="A149" s="93">
        <f t="shared" si="12"/>
        <v>456</v>
      </c>
    </row>
    <row r="150" ht="15" customHeight="1" hidden="1" thickBot="1">
      <c r="A150" s="93">
        <f t="shared" si="12"/>
        <v>455</v>
      </c>
    </row>
    <row r="151" ht="15" customHeight="1" hidden="1" thickBot="1">
      <c r="A151" s="93">
        <f t="shared" si="12"/>
        <v>454</v>
      </c>
    </row>
    <row r="152" ht="15" customHeight="1" hidden="1" thickBot="1">
      <c r="A152" s="93">
        <f t="shared" si="12"/>
        <v>453</v>
      </c>
    </row>
    <row r="153" ht="15" customHeight="1" hidden="1" thickBot="1">
      <c r="A153" s="93">
        <f t="shared" si="12"/>
        <v>452</v>
      </c>
    </row>
    <row r="154" ht="15" customHeight="1" hidden="1" thickBot="1">
      <c r="A154" s="93">
        <f t="shared" si="12"/>
        <v>451</v>
      </c>
    </row>
    <row r="155" ht="15" customHeight="1" hidden="1" thickBot="1">
      <c r="A155" s="93">
        <f t="shared" si="12"/>
        <v>450</v>
      </c>
    </row>
    <row r="156" ht="15" customHeight="1" hidden="1" thickBot="1">
      <c r="A156" s="93">
        <f t="shared" si="12"/>
        <v>449</v>
      </c>
    </row>
    <row r="157" ht="15" customHeight="1" hidden="1" thickBot="1">
      <c r="A157" s="93">
        <f t="shared" si="12"/>
        <v>448</v>
      </c>
    </row>
    <row r="158" ht="15" customHeight="1" hidden="1" thickBot="1">
      <c r="A158" s="93">
        <f t="shared" si="12"/>
        <v>447</v>
      </c>
    </row>
    <row r="159" ht="15" customHeight="1" hidden="1" thickBot="1">
      <c r="A159" s="93">
        <f t="shared" si="12"/>
        <v>446</v>
      </c>
    </row>
    <row r="160" ht="15" customHeight="1" hidden="1" thickBot="1">
      <c r="A160" s="93">
        <f t="shared" si="12"/>
        <v>445</v>
      </c>
    </row>
    <row r="161" ht="15" customHeight="1" hidden="1" thickBot="1">
      <c r="A161" s="93">
        <f t="shared" si="12"/>
        <v>444</v>
      </c>
    </row>
    <row r="162" ht="15" customHeight="1" hidden="1" thickBot="1">
      <c r="A162" s="93">
        <f t="shared" si="12"/>
        <v>443</v>
      </c>
    </row>
    <row r="163" ht="15" customHeight="1" hidden="1" thickBot="1">
      <c r="A163" s="93">
        <f t="shared" si="12"/>
        <v>442</v>
      </c>
    </row>
    <row r="164" ht="15" customHeight="1" hidden="1" thickBot="1">
      <c r="A164" s="93">
        <f t="shared" si="12"/>
        <v>441</v>
      </c>
    </row>
    <row r="165" ht="15" customHeight="1" hidden="1" thickBot="1">
      <c r="A165" s="93">
        <f t="shared" si="12"/>
        <v>440</v>
      </c>
    </row>
    <row r="166" ht="15" customHeight="1" hidden="1" thickBot="1">
      <c r="A166" s="93">
        <f t="shared" si="12"/>
        <v>439</v>
      </c>
    </row>
    <row r="167" ht="15" customHeight="1" hidden="1" thickBot="1">
      <c r="A167" s="93">
        <f t="shared" si="12"/>
        <v>438</v>
      </c>
    </row>
    <row r="168" ht="15" customHeight="1" hidden="1" thickBot="1">
      <c r="A168" s="93">
        <f t="shared" si="12"/>
        <v>437</v>
      </c>
    </row>
    <row r="169" ht="15" customHeight="1" hidden="1" thickBot="1">
      <c r="A169" s="93">
        <f t="shared" si="12"/>
        <v>436</v>
      </c>
    </row>
    <row r="170" ht="15" customHeight="1" hidden="1" thickBot="1">
      <c r="A170" s="93">
        <f t="shared" si="12"/>
        <v>435</v>
      </c>
    </row>
    <row r="171" ht="15" customHeight="1" hidden="1" thickBot="1">
      <c r="A171" s="93">
        <f t="shared" si="12"/>
        <v>434</v>
      </c>
    </row>
    <row r="172" ht="15" customHeight="1" hidden="1" thickBot="1">
      <c r="A172" s="93">
        <f t="shared" si="12"/>
        <v>433</v>
      </c>
    </row>
    <row r="173" ht="15" customHeight="1" hidden="1" thickBot="1">
      <c r="A173" s="93">
        <f t="shared" si="12"/>
        <v>432</v>
      </c>
    </row>
    <row r="174" ht="15" customHeight="1" hidden="1" thickBot="1">
      <c r="A174" s="93">
        <f t="shared" si="12"/>
        <v>431</v>
      </c>
    </row>
    <row r="175" ht="15" customHeight="1" hidden="1" thickBot="1">
      <c r="A175" s="93">
        <f t="shared" si="12"/>
        <v>430</v>
      </c>
    </row>
    <row r="176" ht="15" customHeight="1" hidden="1" thickBot="1">
      <c r="A176" s="93">
        <f t="shared" si="12"/>
        <v>429</v>
      </c>
    </row>
    <row r="177" ht="15" customHeight="1" hidden="1" thickBot="1">
      <c r="A177" s="93">
        <f t="shared" si="12"/>
        <v>428</v>
      </c>
    </row>
    <row r="178" ht="15" customHeight="1" hidden="1" thickBot="1">
      <c r="A178" s="93">
        <f t="shared" si="12"/>
        <v>427</v>
      </c>
    </row>
    <row r="179" ht="15" customHeight="1" hidden="1" thickBot="1">
      <c r="A179" s="93">
        <f t="shared" si="12"/>
        <v>426</v>
      </c>
    </row>
    <row r="180" ht="15" customHeight="1" hidden="1" thickBot="1">
      <c r="A180" s="93">
        <f t="shared" si="12"/>
        <v>425</v>
      </c>
    </row>
    <row r="181" ht="15" customHeight="1" hidden="1" thickBot="1">
      <c r="A181" s="93">
        <f t="shared" si="12"/>
        <v>424</v>
      </c>
    </row>
    <row r="182" ht="15" customHeight="1" hidden="1" thickBot="1">
      <c r="A182" s="93">
        <f t="shared" si="12"/>
        <v>423</v>
      </c>
    </row>
    <row r="183" ht="15" customHeight="1" hidden="1" thickBot="1">
      <c r="A183" s="93">
        <f t="shared" si="12"/>
        <v>422</v>
      </c>
    </row>
    <row r="184" ht="15" customHeight="1" hidden="1" thickBot="1">
      <c r="A184" s="93">
        <f t="shared" si="12"/>
        <v>421</v>
      </c>
    </row>
    <row r="185" ht="15" customHeight="1" hidden="1" thickBot="1">
      <c r="A185" s="93">
        <f t="shared" si="12"/>
        <v>420</v>
      </c>
    </row>
    <row r="186" ht="15" customHeight="1" hidden="1" thickBot="1">
      <c r="A186" s="93">
        <f t="shared" si="12"/>
        <v>419</v>
      </c>
    </row>
    <row r="187" ht="15" customHeight="1" hidden="1" thickBot="1">
      <c r="A187" s="93">
        <f t="shared" si="12"/>
        <v>418</v>
      </c>
    </row>
    <row r="188" ht="15" customHeight="1" hidden="1" thickBot="1">
      <c r="A188" s="93">
        <f t="shared" si="12"/>
        <v>417</v>
      </c>
    </row>
    <row r="189" ht="15" customHeight="1" hidden="1" thickBot="1">
      <c r="A189" s="93">
        <f t="shared" si="12"/>
        <v>416</v>
      </c>
    </row>
    <row r="190" ht="15" customHeight="1" hidden="1" thickBot="1">
      <c r="A190" s="93">
        <f t="shared" si="12"/>
        <v>415</v>
      </c>
    </row>
    <row r="191" ht="15" customHeight="1" hidden="1" thickBot="1">
      <c r="A191" s="93">
        <f t="shared" si="12"/>
        <v>414</v>
      </c>
    </row>
    <row r="192" ht="15" customHeight="1" hidden="1" thickBot="1">
      <c r="A192" s="93">
        <f t="shared" si="12"/>
        <v>413</v>
      </c>
    </row>
    <row r="193" ht="15" customHeight="1" hidden="1" thickBot="1">
      <c r="A193" s="93">
        <f t="shared" si="12"/>
        <v>412</v>
      </c>
    </row>
    <row r="194" ht="15" customHeight="1" hidden="1" thickBot="1">
      <c r="A194" s="93">
        <f t="shared" si="12"/>
        <v>411</v>
      </c>
    </row>
    <row r="195" ht="15" customHeight="1" hidden="1" thickBot="1">
      <c r="A195" s="93">
        <f t="shared" si="12"/>
        <v>410</v>
      </c>
    </row>
    <row r="196" ht="15" customHeight="1" hidden="1" thickBot="1">
      <c r="A196" s="93">
        <f t="shared" si="12"/>
        <v>409</v>
      </c>
    </row>
    <row r="197" ht="15" customHeight="1" hidden="1" thickBot="1">
      <c r="A197" s="93">
        <f t="shared" si="12"/>
        <v>408</v>
      </c>
    </row>
    <row r="198" ht="15" customHeight="1" hidden="1" thickBot="1">
      <c r="A198" s="93">
        <f t="shared" si="12"/>
        <v>407</v>
      </c>
    </row>
    <row r="199" ht="15" customHeight="1" hidden="1" thickBot="1">
      <c r="A199" s="93">
        <f t="shared" si="12"/>
        <v>406</v>
      </c>
    </row>
    <row r="200" ht="15" customHeight="1" hidden="1" thickBot="1">
      <c r="A200" s="93">
        <f t="shared" si="12"/>
        <v>405</v>
      </c>
    </row>
    <row r="201" ht="15" customHeight="1" hidden="1" thickBot="1">
      <c r="A201" s="93">
        <f t="shared" si="12"/>
        <v>404</v>
      </c>
    </row>
    <row r="202" ht="15" customHeight="1" hidden="1" thickBot="1">
      <c r="A202" s="93">
        <f aca="true" t="shared" si="13" ref="A202:A265">IF(ISTEXT(D203),1,1+A203)</f>
        <v>403</v>
      </c>
    </row>
    <row r="203" ht="15" customHeight="1" hidden="1" thickBot="1">
      <c r="A203" s="93">
        <f t="shared" si="13"/>
        <v>402</v>
      </c>
    </row>
    <row r="204" ht="15" customHeight="1" hidden="1" thickBot="1">
      <c r="A204" s="93">
        <f t="shared" si="13"/>
        <v>401</v>
      </c>
    </row>
    <row r="205" ht="15" customHeight="1" hidden="1" thickBot="1">
      <c r="A205" s="93">
        <f t="shared" si="13"/>
        <v>400</v>
      </c>
    </row>
    <row r="206" ht="15" customHeight="1" hidden="1" thickBot="1">
      <c r="A206" s="93">
        <f t="shared" si="13"/>
        <v>399</v>
      </c>
    </row>
    <row r="207" ht="15" customHeight="1" hidden="1" thickBot="1">
      <c r="A207" s="93">
        <f t="shared" si="13"/>
        <v>398</v>
      </c>
    </row>
    <row r="208" ht="15" customHeight="1" hidden="1" thickBot="1">
      <c r="A208" s="93">
        <f t="shared" si="13"/>
        <v>397</v>
      </c>
    </row>
    <row r="209" ht="15" customHeight="1" hidden="1" thickBot="1">
      <c r="A209" s="93">
        <f t="shared" si="13"/>
        <v>396</v>
      </c>
    </row>
    <row r="210" ht="15" customHeight="1" hidden="1" thickBot="1">
      <c r="A210" s="93">
        <f t="shared" si="13"/>
        <v>395</v>
      </c>
    </row>
    <row r="211" ht="15" customHeight="1" hidden="1" thickBot="1">
      <c r="A211" s="93">
        <f t="shared" si="13"/>
        <v>394</v>
      </c>
    </row>
    <row r="212" ht="15" customHeight="1" hidden="1" thickBot="1">
      <c r="A212" s="93">
        <f t="shared" si="13"/>
        <v>393</v>
      </c>
    </row>
    <row r="213" ht="15" customHeight="1" hidden="1" thickBot="1">
      <c r="A213" s="93">
        <f t="shared" si="13"/>
        <v>392</v>
      </c>
    </row>
    <row r="214" ht="15" customHeight="1" hidden="1" thickBot="1">
      <c r="A214" s="93">
        <f t="shared" si="13"/>
        <v>391</v>
      </c>
    </row>
    <row r="215" ht="15" customHeight="1" hidden="1" thickBot="1">
      <c r="A215" s="93">
        <f t="shared" si="13"/>
        <v>390</v>
      </c>
    </row>
    <row r="216" ht="15" customHeight="1" hidden="1" thickBot="1">
      <c r="A216" s="93">
        <f t="shared" si="13"/>
        <v>389</v>
      </c>
    </row>
    <row r="217" ht="15" customHeight="1" hidden="1" thickBot="1">
      <c r="A217" s="93">
        <f t="shared" si="13"/>
        <v>388</v>
      </c>
    </row>
    <row r="218" ht="15" customHeight="1" hidden="1" thickBot="1">
      <c r="A218" s="93">
        <f t="shared" si="13"/>
        <v>387</v>
      </c>
    </row>
    <row r="219" ht="15" customHeight="1" hidden="1" thickBot="1">
      <c r="A219" s="93">
        <f t="shared" si="13"/>
        <v>386</v>
      </c>
    </row>
    <row r="220" ht="15" customHeight="1" hidden="1" thickBot="1">
      <c r="A220" s="93">
        <f t="shared" si="13"/>
        <v>385</v>
      </c>
    </row>
    <row r="221" ht="15" customHeight="1" hidden="1" thickBot="1">
      <c r="A221" s="93">
        <f t="shared" si="13"/>
        <v>384</v>
      </c>
    </row>
    <row r="222" ht="15" customHeight="1" hidden="1" thickBot="1">
      <c r="A222" s="93">
        <f t="shared" si="13"/>
        <v>383</v>
      </c>
    </row>
    <row r="223" ht="15" customHeight="1" hidden="1" thickBot="1">
      <c r="A223" s="93">
        <f t="shared" si="13"/>
        <v>382</v>
      </c>
    </row>
    <row r="224" ht="15" customHeight="1" hidden="1" thickBot="1">
      <c r="A224" s="93">
        <f t="shared" si="13"/>
        <v>381</v>
      </c>
    </row>
    <row r="225" ht="15" customHeight="1" hidden="1" thickBot="1">
      <c r="A225" s="93">
        <f t="shared" si="13"/>
        <v>380</v>
      </c>
    </row>
    <row r="226" ht="15" customHeight="1" hidden="1" thickBot="1">
      <c r="A226" s="93">
        <f t="shared" si="13"/>
        <v>379</v>
      </c>
    </row>
    <row r="227" ht="15" customHeight="1" hidden="1" thickBot="1">
      <c r="A227" s="93">
        <f t="shared" si="13"/>
        <v>378</v>
      </c>
    </row>
    <row r="228" ht="15" customHeight="1" hidden="1" thickBot="1">
      <c r="A228" s="93">
        <f t="shared" si="13"/>
        <v>377</v>
      </c>
    </row>
    <row r="229" ht="15" customHeight="1" hidden="1" thickBot="1">
      <c r="A229" s="93">
        <f t="shared" si="13"/>
        <v>376</v>
      </c>
    </row>
    <row r="230" ht="15" customHeight="1" hidden="1" thickBot="1">
      <c r="A230" s="93">
        <f t="shared" si="13"/>
        <v>375</v>
      </c>
    </row>
    <row r="231" ht="15" customHeight="1" hidden="1" thickBot="1">
      <c r="A231" s="93">
        <f t="shared" si="13"/>
        <v>374</v>
      </c>
    </row>
    <row r="232" ht="15" customHeight="1" hidden="1" thickBot="1">
      <c r="A232" s="93">
        <f t="shared" si="13"/>
        <v>373</v>
      </c>
    </row>
    <row r="233" ht="15" customHeight="1" hidden="1" thickBot="1">
      <c r="A233" s="93">
        <f t="shared" si="13"/>
        <v>372</v>
      </c>
    </row>
    <row r="234" ht="15" customHeight="1" hidden="1" thickBot="1">
      <c r="A234" s="93">
        <f t="shared" si="13"/>
        <v>371</v>
      </c>
    </row>
    <row r="235" ht="15" customHeight="1" hidden="1" thickBot="1">
      <c r="A235" s="93">
        <f t="shared" si="13"/>
        <v>370</v>
      </c>
    </row>
    <row r="236" ht="15" customHeight="1" hidden="1" thickBot="1">
      <c r="A236" s="93">
        <f t="shared" si="13"/>
        <v>369</v>
      </c>
    </row>
    <row r="237" ht="15" customHeight="1" hidden="1" thickBot="1">
      <c r="A237" s="93">
        <f t="shared" si="13"/>
        <v>368</v>
      </c>
    </row>
    <row r="238" ht="15" customHeight="1" hidden="1" thickBot="1">
      <c r="A238" s="93">
        <f t="shared" si="13"/>
        <v>367</v>
      </c>
    </row>
    <row r="239" ht="15" customHeight="1" hidden="1" thickBot="1">
      <c r="A239" s="93">
        <f t="shared" si="13"/>
        <v>366</v>
      </c>
    </row>
    <row r="240" ht="15" customHeight="1" hidden="1" thickBot="1">
      <c r="A240" s="93">
        <f t="shared" si="13"/>
        <v>365</v>
      </c>
    </row>
    <row r="241" ht="15" customHeight="1" hidden="1" thickBot="1">
      <c r="A241" s="93">
        <f t="shared" si="13"/>
        <v>364</v>
      </c>
    </row>
    <row r="242" ht="15" customHeight="1" hidden="1" thickBot="1">
      <c r="A242" s="93">
        <f t="shared" si="13"/>
        <v>363</v>
      </c>
    </row>
    <row r="243" ht="15" customHeight="1" hidden="1" thickBot="1">
      <c r="A243" s="93">
        <f t="shared" si="13"/>
        <v>362</v>
      </c>
    </row>
    <row r="244" ht="15" customHeight="1" hidden="1" thickBot="1">
      <c r="A244" s="93">
        <f t="shared" si="13"/>
        <v>361</v>
      </c>
    </row>
    <row r="245" ht="15" customHeight="1" hidden="1" thickBot="1">
      <c r="A245" s="93">
        <f t="shared" si="13"/>
        <v>360</v>
      </c>
    </row>
    <row r="246" ht="15" customHeight="1" hidden="1" thickBot="1">
      <c r="A246" s="93">
        <f t="shared" si="13"/>
        <v>359</v>
      </c>
    </row>
    <row r="247" ht="15" customHeight="1" hidden="1" thickBot="1">
      <c r="A247" s="93">
        <f t="shared" si="13"/>
        <v>358</v>
      </c>
    </row>
    <row r="248" ht="15" customHeight="1" hidden="1" thickBot="1">
      <c r="A248" s="93">
        <f t="shared" si="13"/>
        <v>357</v>
      </c>
    </row>
    <row r="249" ht="15" customHeight="1" hidden="1" thickBot="1">
      <c r="A249" s="93">
        <f t="shared" si="13"/>
        <v>356</v>
      </c>
    </row>
    <row r="250" ht="15" customHeight="1" hidden="1" thickBot="1">
      <c r="A250" s="93">
        <f t="shared" si="13"/>
        <v>355</v>
      </c>
    </row>
    <row r="251" ht="15" customHeight="1" hidden="1" thickBot="1">
      <c r="A251" s="93">
        <f t="shared" si="13"/>
        <v>354</v>
      </c>
    </row>
    <row r="252" ht="15" customHeight="1" hidden="1" thickBot="1">
      <c r="A252" s="93">
        <f t="shared" si="13"/>
        <v>353</v>
      </c>
    </row>
    <row r="253" ht="15" customHeight="1" hidden="1" thickBot="1">
      <c r="A253" s="93">
        <f t="shared" si="13"/>
        <v>352</v>
      </c>
    </row>
    <row r="254" ht="15" customHeight="1" hidden="1" thickBot="1">
      <c r="A254" s="93">
        <f t="shared" si="13"/>
        <v>351</v>
      </c>
    </row>
    <row r="255" ht="15" customHeight="1" hidden="1" thickBot="1">
      <c r="A255" s="93">
        <f t="shared" si="13"/>
        <v>350</v>
      </c>
    </row>
    <row r="256" ht="15" customHeight="1" hidden="1" thickBot="1">
      <c r="A256" s="93">
        <f t="shared" si="13"/>
        <v>349</v>
      </c>
    </row>
    <row r="257" ht="15" customHeight="1" hidden="1" thickBot="1">
      <c r="A257" s="93">
        <f t="shared" si="13"/>
        <v>348</v>
      </c>
    </row>
    <row r="258" ht="15" customHeight="1" hidden="1" thickBot="1">
      <c r="A258" s="93">
        <f t="shared" si="13"/>
        <v>347</v>
      </c>
    </row>
    <row r="259" ht="15" customHeight="1" hidden="1" thickBot="1">
      <c r="A259" s="93">
        <f t="shared" si="13"/>
        <v>346</v>
      </c>
    </row>
    <row r="260" ht="15" customHeight="1" hidden="1" thickBot="1">
      <c r="A260" s="93">
        <f t="shared" si="13"/>
        <v>345</v>
      </c>
    </row>
    <row r="261" ht="15" customHeight="1" hidden="1" thickBot="1">
      <c r="A261" s="93">
        <f t="shared" si="13"/>
        <v>344</v>
      </c>
    </row>
    <row r="262" ht="15" customHeight="1" hidden="1" thickBot="1">
      <c r="A262" s="93">
        <f t="shared" si="13"/>
        <v>343</v>
      </c>
    </row>
    <row r="263" ht="15" customHeight="1" hidden="1" thickBot="1">
      <c r="A263" s="93">
        <f t="shared" si="13"/>
        <v>342</v>
      </c>
    </row>
    <row r="264" ht="15" customHeight="1" hidden="1" thickBot="1">
      <c r="A264" s="93">
        <f t="shared" si="13"/>
        <v>341</v>
      </c>
    </row>
    <row r="265" ht="15" customHeight="1" hidden="1" thickBot="1">
      <c r="A265" s="93">
        <f t="shared" si="13"/>
        <v>340</v>
      </c>
    </row>
    <row r="266" ht="15" customHeight="1" hidden="1" thickBot="1">
      <c r="A266" s="93">
        <f aca="true" t="shared" si="14" ref="A266:A329">IF(ISTEXT(D267),1,1+A267)</f>
        <v>339</v>
      </c>
    </row>
    <row r="267" ht="15" customHeight="1" hidden="1" thickBot="1">
      <c r="A267" s="93">
        <f t="shared" si="14"/>
        <v>338</v>
      </c>
    </row>
    <row r="268" ht="15" customHeight="1" hidden="1" thickBot="1">
      <c r="A268" s="93">
        <f t="shared" si="14"/>
        <v>337</v>
      </c>
    </row>
    <row r="269" ht="15" customHeight="1" hidden="1" thickBot="1">
      <c r="A269" s="93">
        <f t="shared" si="14"/>
        <v>336</v>
      </c>
    </row>
    <row r="270" ht="15" customHeight="1" hidden="1" thickBot="1">
      <c r="A270" s="93">
        <f t="shared" si="14"/>
        <v>335</v>
      </c>
    </row>
    <row r="271" ht="15" customHeight="1" hidden="1" thickBot="1">
      <c r="A271" s="93">
        <f t="shared" si="14"/>
        <v>334</v>
      </c>
    </row>
    <row r="272" ht="15" customHeight="1" hidden="1" thickBot="1">
      <c r="A272" s="93">
        <f t="shared" si="14"/>
        <v>333</v>
      </c>
    </row>
    <row r="273" ht="15" customHeight="1" hidden="1" thickBot="1">
      <c r="A273" s="93">
        <f t="shared" si="14"/>
        <v>332</v>
      </c>
    </row>
    <row r="274" ht="15" customHeight="1" hidden="1" thickBot="1">
      <c r="A274" s="93">
        <f t="shared" si="14"/>
        <v>331</v>
      </c>
    </row>
    <row r="275" ht="15" customHeight="1" hidden="1" thickBot="1">
      <c r="A275" s="93">
        <f t="shared" si="14"/>
        <v>330</v>
      </c>
    </row>
    <row r="276" ht="15" customHeight="1" hidden="1" thickBot="1">
      <c r="A276" s="93">
        <f t="shared" si="14"/>
        <v>329</v>
      </c>
    </row>
    <row r="277" ht="15" customHeight="1" hidden="1" thickBot="1">
      <c r="A277" s="93">
        <f t="shared" si="14"/>
        <v>328</v>
      </c>
    </row>
    <row r="278" ht="15" customHeight="1" hidden="1" thickBot="1">
      <c r="A278" s="93">
        <f t="shared" si="14"/>
        <v>327</v>
      </c>
    </row>
    <row r="279" ht="15" customHeight="1" hidden="1" thickBot="1">
      <c r="A279" s="93">
        <f t="shared" si="14"/>
        <v>326</v>
      </c>
    </row>
    <row r="280" ht="15" customHeight="1" hidden="1" thickBot="1">
      <c r="A280" s="93">
        <f t="shared" si="14"/>
        <v>325</v>
      </c>
    </row>
    <row r="281" ht="15" customHeight="1" hidden="1" thickBot="1">
      <c r="A281" s="93">
        <f t="shared" si="14"/>
        <v>324</v>
      </c>
    </row>
    <row r="282" ht="15" customHeight="1" hidden="1" thickBot="1">
      <c r="A282" s="93">
        <f t="shared" si="14"/>
        <v>323</v>
      </c>
    </row>
    <row r="283" ht="15" customHeight="1" hidden="1" thickBot="1">
      <c r="A283" s="93">
        <f t="shared" si="14"/>
        <v>322</v>
      </c>
    </row>
    <row r="284" ht="15" customHeight="1" hidden="1" thickBot="1">
      <c r="A284" s="93">
        <f t="shared" si="14"/>
        <v>321</v>
      </c>
    </row>
    <row r="285" ht="15" customHeight="1" hidden="1" thickBot="1">
      <c r="A285" s="93">
        <f t="shared" si="14"/>
        <v>320</v>
      </c>
    </row>
    <row r="286" ht="15" customHeight="1" hidden="1" thickBot="1">
      <c r="A286" s="93">
        <f t="shared" si="14"/>
        <v>319</v>
      </c>
    </row>
    <row r="287" ht="15" customHeight="1" hidden="1" thickBot="1">
      <c r="A287" s="93">
        <f t="shared" si="14"/>
        <v>318</v>
      </c>
    </row>
    <row r="288" ht="15" customHeight="1" hidden="1" thickBot="1">
      <c r="A288" s="93">
        <f t="shared" si="14"/>
        <v>317</v>
      </c>
    </row>
    <row r="289" ht="15" customHeight="1" hidden="1" thickBot="1">
      <c r="A289" s="93">
        <f t="shared" si="14"/>
        <v>316</v>
      </c>
    </row>
    <row r="290" ht="15" customHeight="1" hidden="1" thickBot="1">
      <c r="A290" s="93">
        <f t="shared" si="14"/>
        <v>315</v>
      </c>
    </row>
    <row r="291" ht="15" customHeight="1" hidden="1" thickBot="1">
      <c r="A291" s="93">
        <f t="shared" si="14"/>
        <v>314</v>
      </c>
    </row>
    <row r="292" ht="15" customHeight="1" hidden="1" thickBot="1">
      <c r="A292" s="93">
        <f t="shared" si="14"/>
        <v>313</v>
      </c>
    </row>
    <row r="293" ht="15" customHeight="1" hidden="1" thickBot="1">
      <c r="A293" s="93">
        <f t="shared" si="14"/>
        <v>312</v>
      </c>
    </row>
    <row r="294" ht="15" customHeight="1" hidden="1" thickBot="1">
      <c r="A294" s="93">
        <f t="shared" si="14"/>
        <v>311</v>
      </c>
    </row>
    <row r="295" ht="15" customHeight="1" hidden="1" thickBot="1">
      <c r="A295" s="93">
        <f t="shared" si="14"/>
        <v>310</v>
      </c>
    </row>
    <row r="296" ht="15" customHeight="1" hidden="1" thickBot="1">
      <c r="A296" s="93">
        <f t="shared" si="14"/>
        <v>309</v>
      </c>
    </row>
    <row r="297" ht="15" customHeight="1" hidden="1" thickBot="1">
      <c r="A297" s="93">
        <f t="shared" si="14"/>
        <v>308</v>
      </c>
    </row>
    <row r="298" ht="15" customHeight="1" hidden="1" thickBot="1">
      <c r="A298" s="93">
        <f t="shared" si="14"/>
        <v>307</v>
      </c>
    </row>
    <row r="299" ht="15" customHeight="1" hidden="1" thickBot="1">
      <c r="A299" s="93">
        <f t="shared" si="14"/>
        <v>306</v>
      </c>
    </row>
    <row r="300" ht="15" customHeight="1" hidden="1" thickBot="1">
      <c r="A300" s="93">
        <f t="shared" si="14"/>
        <v>305</v>
      </c>
    </row>
    <row r="301" ht="15" customHeight="1" hidden="1" thickBot="1">
      <c r="A301" s="93">
        <f t="shared" si="14"/>
        <v>304</v>
      </c>
    </row>
    <row r="302" ht="15" customHeight="1" hidden="1" thickBot="1">
      <c r="A302" s="93">
        <f t="shared" si="14"/>
        <v>303</v>
      </c>
    </row>
    <row r="303" ht="15" customHeight="1" hidden="1" thickBot="1">
      <c r="A303" s="93">
        <f t="shared" si="14"/>
        <v>302</v>
      </c>
    </row>
    <row r="304" ht="15" customHeight="1" hidden="1" thickBot="1">
      <c r="A304" s="93">
        <f t="shared" si="14"/>
        <v>301</v>
      </c>
    </row>
    <row r="305" ht="15" customHeight="1" hidden="1" thickBot="1">
      <c r="A305" s="93">
        <f t="shared" si="14"/>
        <v>300</v>
      </c>
    </row>
    <row r="306" ht="15" customHeight="1" hidden="1" thickBot="1">
      <c r="A306" s="93">
        <f t="shared" si="14"/>
        <v>299</v>
      </c>
    </row>
    <row r="307" ht="15" customHeight="1" hidden="1" thickBot="1">
      <c r="A307" s="93">
        <f t="shared" si="14"/>
        <v>298</v>
      </c>
    </row>
    <row r="308" ht="15" customHeight="1" hidden="1" thickBot="1">
      <c r="A308" s="93">
        <f t="shared" si="14"/>
        <v>297</v>
      </c>
    </row>
    <row r="309" ht="15" customHeight="1" hidden="1" thickBot="1">
      <c r="A309" s="93">
        <f t="shared" si="14"/>
        <v>296</v>
      </c>
    </row>
    <row r="310" ht="15" customHeight="1" hidden="1" thickBot="1">
      <c r="A310" s="93">
        <f t="shared" si="14"/>
        <v>295</v>
      </c>
    </row>
    <row r="311" ht="15" customHeight="1" hidden="1" thickBot="1">
      <c r="A311" s="93">
        <f t="shared" si="14"/>
        <v>294</v>
      </c>
    </row>
    <row r="312" ht="15" customHeight="1" hidden="1" thickBot="1">
      <c r="A312" s="93">
        <f t="shared" si="14"/>
        <v>293</v>
      </c>
    </row>
    <row r="313" ht="15" customHeight="1" hidden="1" thickBot="1">
      <c r="A313" s="93">
        <f t="shared" si="14"/>
        <v>292</v>
      </c>
    </row>
    <row r="314" ht="15" customHeight="1" hidden="1" thickBot="1">
      <c r="A314" s="93">
        <f t="shared" si="14"/>
        <v>291</v>
      </c>
    </row>
    <row r="315" ht="15" customHeight="1" hidden="1" thickBot="1">
      <c r="A315" s="93">
        <f t="shared" si="14"/>
        <v>290</v>
      </c>
    </row>
    <row r="316" ht="15" customHeight="1" hidden="1" thickBot="1">
      <c r="A316" s="93">
        <f t="shared" si="14"/>
        <v>289</v>
      </c>
    </row>
    <row r="317" ht="15" customHeight="1" hidden="1" thickBot="1">
      <c r="A317" s="93">
        <f t="shared" si="14"/>
        <v>288</v>
      </c>
    </row>
    <row r="318" ht="15" customHeight="1" hidden="1" thickBot="1">
      <c r="A318" s="93">
        <f t="shared" si="14"/>
        <v>287</v>
      </c>
    </row>
    <row r="319" ht="15" customHeight="1" hidden="1" thickBot="1">
      <c r="A319" s="93">
        <f t="shared" si="14"/>
        <v>286</v>
      </c>
    </row>
    <row r="320" ht="15" customHeight="1" hidden="1" thickBot="1">
      <c r="A320" s="93">
        <f t="shared" si="14"/>
        <v>285</v>
      </c>
    </row>
    <row r="321" ht="15" customHeight="1" hidden="1" thickBot="1">
      <c r="A321" s="93">
        <f t="shared" si="14"/>
        <v>284</v>
      </c>
    </row>
    <row r="322" ht="15" customHeight="1" hidden="1" thickBot="1">
      <c r="A322" s="93">
        <f t="shared" si="14"/>
        <v>283</v>
      </c>
    </row>
    <row r="323" ht="15" customHeight="1" hidden="1" thickBot="1">
      <c r="A323" s="93">
        <f t="shared" si="14"/>
        <v>282</v>
      </c>
    </row>
    <row r="324" ht="15" customHeight="1" hidden="1" thickBot="1">
      <c r="A324" s="93">
        <f t="shared" si="14"/>
        <v>281</v>
      </c>
    </row>
    <row r="325" ht="15" customHeight="1" hidden="1" thickBot="1">
      <c r="A325" s="93">
        <f t="shared" si="14"/>
        <v>280</v>
      </c>
    </row>
    <row r="326" ht="15" customHeight="1" hidden="1" thickBot="1">
      <c r="A326" s="93">
        <f t="shared" si="14"/>
        <v>279</v>
      </c>
    </row>
    <row r="327" ht="15" customHeight="1" hidden="1" thickBot="1">
      <c r="A327" s="93">
        <f t="shared" si="14"/>
        <v>278</v>
      </c>
    </row>
    <row r="328" ht="15" customHeight="1" hidden="1" thickBot="1">
      <c r="A328" s="93">
        <f t="shared" si="14"/>
        <v>277</v>
      </c>
    </row>
    <row r="329" ht="15" customHeight="1" hidden="1" thickBot="1">
      <c r="A329" s="93">
        <f t="shared" si="14"/>
        <v>276</v>
      </c>
    </row>
    <row r="330" ht="15" customHeight="1" hidden="1" thickBot="1">
      <c r="A330" s="93">
        <f aca="true" t="shared" si="15" ref="A330:A393">IF(ISTEXT(D331),1,1+A331)</f>
        <v>275</v>
      </c>
    </row>
    <row r="331" ht="15" customHeight="1" hidden="1" thickBot="1">
      <c r="A331" s="93">
        <f t="shared" si="15"/>
        <v>274</v>
      </c>
    </row>
    <row r="332" ht="15" customHeight="1" hidden="1" thickBot="1">
      <c r="A332" s="93">
        <f t="shared" si="15"/>
        <v>273</v>
      </c>
    </row>
    <row r="333" ht="15" customHeight="1" hidden="1" thickBot="1">
      <c r="A333" s="93">
        <f t="shared" si="15"/>
        <v>272</v>
      </c>
    </row>
    <row r="334" ht="15" customHeight="1" hidden="1" thickBot="1">
      <c r="A334" s="93">
        <f t="shared" si="15"/>
        <v>271</v>
      </c>
    </row>
    <row r="335" ht="15" customHeight="1" hidden="1" thickBot="1">
      <c r="A335" s="93">
        <f t="shared" si="15"/>
        <v>270</v>
      </c>
    </row>
    <row r="336" ht="15" customHeight="1" hidden="1" thickBot="1">
      <c r="A336" s="93">
        <f t="shared" si="15"/>
        <v>269</v>
      </c>
    </row>
    <row r="337" ht="15" customHeight="1" hidden="1" thickBot="1">
      <c r="A337" s="93">
        <f t="shared" si="15"/>
        <v>268</v>
      </c>
    </row>
    <row r="338" ht="15" customHeight="1" hidden="1" thickBot="1">
      <c r="A338" s="93">
        <f t="shared" si="15"/>
        <v>267</v>
      </c>
    </row>
    <row r="339" ht="15" customHeight="1" hidden="1" thickBot="1">
      <c r="A339" s="93">
        <f t="shared" si="15"/>
        <v>266</v>
      </c>
    </row>
    <row r="340" ht="15" customHeight="1" hidden="1" thickBot="1">
      <c r="A340" s="93">
        <f t="shared" si="15"/>
        <v>265</v>
      </c>
    </row>
    <row r="341" ht="15" customHeight="1" hidden="1" thickBot="1">
      <c r="A341" s="93">
        <f t="shared" si="15"/>
        <v>264</v>
      </c>
    </row>
    <row r="342" ht="15" customHeight="1" hidden="1" thickBot="1">
      <c r="A342" s="93">
        <f t="shared" si="15"/>
        <v>263</v>
      </c>
    </row>
    <row r="343" ht="15" customHeight="1" hidden="1" thickBot="1">
      <c r="A343" s="93">
        <f t="shared" si="15"/>
        <v>262</v>
      </c>
    </row>
    <row r="344" ht="15" customHeight="1" hidden="1" thickBot="1">
      <c r="A344" s="93">
        <f t="shared" si="15"/>
        <v>261</v>
      </c>
    </row>
    <row r="345" ht="15" customHeight="1" hidden="1" thickBot="1">
      <c r="A345" s="93">
        <f t="shared" si="15"/>
        <v>260</v>
      </c>
    </row>
    <row r="346" ht="15" customHeight="1" hidden="1" thickBot="1">
      <c r="A346" s="93">
        <f t="shared" si="15"/>
        <v>259</v>
      </c>
    </row>
    <row r="347" ht="15" customHeight="1" hidden="1" thickBot="1">
      <c r="A347" s="93">
        <f t="shared" si="15"/>
        <v>258</v>
      </c>
    </row>
    <row r="348" ht="15" customHeight="1" hidden="1" thickBot="1">
      <c r="A348" s="93">
        <f t="shared" si="15"/>
        <v>257</v>
      </c>
    </row>
    <row r="349" ht="15" customHeight="1" hidden="1" thickBot="1">
      <c r="A349" s="93">
        <f t="shared" si="15"/>
        <v>256</v>
      </c>
    </row>
    <row r="350" ht="15" customHeight="1" hidden="1" thickBot="1">
      <c r="A350" s="93">
        <f t="shared" si="15"/>
        <v>255</v>
      </c>
    </row>
    <row r="351" ht="15" customHeight="1" hidden="1" thickBot="1">
      <c r="A351" s="93">
        <f t="shared" si="15"/>
        <v>254</v>
      </c>
    </row>
    <row r="352" ht="15" customHeight="1" hidden="1" thickBot="1">
      <c r="A352" s="93">
        <f t="shared" si="15"/>
        <v>253</v>
      </c>
    </row>
    <row r="353" ht="15" customHeight="1" hidden="1" thickBot="1">
      <c r="A353" s="93">
        <f t="shared" si="15"/>
        <v>252</v>
      </c>
    </row>
    <row r="354" ht="15" customHeight="1" hidden="1" thickBot="1">
      <c r="A354" s="93">
        <f t="shared" si="15"/>
        <v>251</v>
      </c>
    </row>
    <row r="355" ht="15" customHeight="1" hidden="1" thickBot="1">
      <c r="A355" s="93">
        <f t="shared" si="15"/>
        <v>250</v>
      </c>
    </row>
    <row r="356" ht="15" customHeight="1" hidden="1" thickBot="1">
      <c r="A356" s="93">
        <f t="shared" si="15"/>
        <v>249</v>
      </c>
    </row>
    <row r="357" ht="15" customHeight="1" hidden="1" thickBot="1">
      <c r="A357" s="93">
        <f t="shared" si="15"/>
        <v>248</v>
      </c>
    </row>
    <row r="358" ht="15" customHeight="1" hidden="1" thickBot="1">
      <c r="A358" s="93">
        <f t="shared" si="15"/>
        <v>247</v>
      </c>
    </row>
    <row r="359" ht="15" customHeight="1" hidden="1" thickBot="1">
      <c r="A359" s="93">
        <f t="shared" si="15"/>
        <v>246</v>
      </c>
    </row>
    <row r="360" ht="15" customHeight="1" hidden="1" thickBot="1">
      <c r="A360" s="93">
        <f t="shared" si="15"/>
        <v>245</v>
      </c>
    </row>
    <row r="361" ht="15" customHeight="1" hidden="1" thickBot="1">
      <c r="A361" s="93">
        <f t="shared" si="15"/>
        <v>244</v>
      </c>
    </row>
    <row r="362" ht="15" customHeight="1" hidden="1" thickBot="1">
      <c r="A362" s="93">
        <f t="shared" si="15"/>
        <v>243</v>
      </c>
    </row>
    <row r="363" ht="15" customHeight="1" hidden="1" thickBot="1">
      <c r="A363" s="93">
        <f t="shared" si="15"/>
        <v>242</v>
      </c>
    </row>
    <row r="364" ht="15" customHeight="1" hidden="1" thickBot="1">
      <c r="A364" s="93">
        <f t="shared" si="15"/>
        <v>241</v>
      </c>
    </row>
    <row r="365" ht="15" customHeight="1" hidden="1" thickBot="1">
      <c r="A365" s="93">
        <f t="shared" si="15"/>
        <v>240</v>
      </c>
    </row>
    <row r="366" ht="15" customHeight="1" hidden="1" thickBot="1">
      <c r="A366" s="93">
        <f t="shared" si="15"/>
        <v>239</v>
      </c>
    </row>
    <row r="367" ht="15" customHeight="1" hidden="1" thickBot="1">
      <c r="A367" s="93">
        <f t="shared" si="15"/>
        <v>238</v>
      </c>
    </row>
    <row r="368" ht="15" customHeight="1" hidden="1" thickBot="1">
      <c r="A368" s="93">
        <f t="shared" si="15"/>
        <v>237</v>
      </c>
    </row>
    <row r="369" ht="15" customHeight="1" hidden="1" thickBot="1">
      <c r="A369" s="93">
        <f t="shared" si="15"/>
        <v>236</v>
      </c>
    </row>
    <row r="370" ht="15" customHeight="1" hidden="1" thickBot="1">
      <c r="A370" s="93">
        <f t="shared" si="15"/>
        <v>235</v>
      </c>
    </row>
    <row r="371" ht="15" customHeight="1" hidden="1" thickBot="1">
      <c r="A371" s="93">
        <f t="shared" si="15"/>
        <v>234</v>
      </c>
    </row>
    <row r="372" ht="15" customHeight="1" hidden="1" thickBot="1">
      <c r="A372" s="93">
        <f t="shared" si="15"/>
        <v>233</v>
      </c>
    </row>
    <row r="373" ht="15" customHeight="1" hidden="1" thickBot="1">
      <c r="A373" s="93">
        <f t="shared" si="15"/>
        <v>232</v>
      </c>
    </row>
    <row r="374" ht="15" customHeight="1" hidden="1" thickBot="1">
      <c r="A374" s="93">
        <f t="shared" si="15"/>
        <v>231</v>
      </c>
    </row>
    <row r="375" ht="15" customHeight="1" hidden="1" thickBot="1">
      <c r="A375" s="93">
        <f t="shared" si="15"/>
        <v>230</v>
      </c>
    </row>
    <row r="376" ht="15" customHeight="1" hidden="1" thickBot="1">
      <c r="A376" s="93">
        <f t="shared" si="15"/>
        <v>229</v>
      </c>
    </row>
    <row r="377" ht="15" customHeight="1" hidden="1" thickBot="1">
      <c r="A377" s="93">
        <f t="shared" si="15"/>
        <v>228</v>
      </c>
    </row>
    <row r="378" ht="15" customHeight="1" hidden="1" thickBot="1">
      <c r="A378" s="93">
        <f t="shared" si="15"/>
        <v>227</v>
      </c>
    </row>
    <row r="379" ht="15" customHeight="1" hidden="1" thickBot="1">
      <c r="A379" s="93">
        <f t="shared" si="15"/>
        <v>226</v>
      </c>
    </row>
    <row r="380" ht="15" customHeight="1" hidden="1" thickBot="1">
      <c r="A380" s="93">
        <f t="shared" si="15"/>
        <v>225</v>
      </c>
    </row>
    <row r="381" ht="15" customHeight="1" hidden="1" thickBot="1">
      <c r="A381" s="93">
        <f t="shared" si="15"/>
        <v>224</v>
      </c>
    </row>
    <row r="382" ht="15" customHeight="1" hidden="1" thickBot="1">
      <c r="A382" s="93">
        <f t="shared" si="15"/>
        <v>223</v>
      </c>
    </row>
    <row r="383" ht="15" customHeight="1" hidden="1" thickBot="1">
      <c r="A383" s="93">
        <f t="shared" si="15"/>
        <v>222</v>
      </c>
    </row>
    <row r="384" ht="15" customHeight="1" hidden="1" thickBot="1">
      <c r="A384" s="93">
        <f t="shared" si="15"/>
        <v>221</v>
      </c>
    </row>
    <row r="385" ht="15" customHeight="1" hidden="1" thickBot="1">
      <c r="A385" s="93">
        <f t="shared" si="15"/>
        <v>220</v>
      </c>
    </row>
    <row r="386" ht="15" customHeight="1" hidden="1" thickBot="1">
      <c r="A386" s="93">
        <f t="shared" si="15"/>
        <v>219</v>
      </c>
    </row>
    <row r="387" ht="15" customHeight="1" hidden="1" thickBot="1">
      <c r="A387" s="93">
        <f t="shared" si="15"/>
        <v>218</v>
      </c>
    </row>
    <row r="388" ht="15" customHeight="1" hidden="1" thickBot="1">
      <c r="A388" s="93">
        <f t="shared" si="15"/>
        <v>217</v>
      </c>
    </row>
    <row r="389" ht="15" customHeight="1" hidden="1" thickBot="1">
      <c r="A389" s="93">
        <f t="shared" si="15"/>
        <v>216</v>
      </c>
    </row>
    <row r="390" ht="15" customHeight="1" hidden="1" thickBot="1">
      <c r="A390" s="93">
        <f t="shared" si="15"/>
        <v>215</v>
      </c>
    </row>
    <row r="391" ht="15" customHeight="1" hidden="1" thickBot="1">
      <c r="A391" s="93">
        <f t="shared" si="15"/>
        <v>214</v>
      </c>
    </row>
    <row r="392" ht="15" customHeight="1" hidden="1" thickBot="1">
      <c r="A392" s="93">
        <f t="shared" si="15"/>
        <v>213</v>
      </c>
    </row>
    <row r="393" ht="15" customHeight="1" hidden="1" thickBot="1">
      <c r="A393" s="93">
        <f t="shared" si="15"/>
        <v>212</v>
      </c>
    </row>
    <row r="394" ht="15" customHeight="1" hidden="1" thickBot="1">
      <c r="A394" s="93">
        <f aca="true" t="shared" si="16" ref="A394:A457">IF(ISTEXT(D395),1,1+A395)</f>
        <v>211</v>
      </c>
    </row>
    <row r="395" ht="15" customHeight="1" hidden="1" thickBot="1">
      <c r="A395" s="93">
        <f t="shared" si="16"/>
        <v>210</v>
      </c>
    </row>
    <row r="396" ht="15" customHeight="1" hidden="1" thickBot="1">
      <c r="A396" s="93">
        <f t="shared" si="16"/>
        <v>209</v>
      </c>
    </row>
    <row r="397" ht="15" customHeight="1" hidden="1" thickBot="1">
      <c r="A397" s="93">
        <f t="shared" si="16"/>
        <v>208</v>
      </c>
    </row>
    <row r="398" ht="15" customHeight="1" hidden="1" thickBot="1">
      <c r="A398" s="93">
        <f t="shared" si="16"/>
        <v>207</v>
      </c>
    </row>
    <row r="399" ht="15" customHeight="1" hidden="1" thickBot="1">
      <c r="A399" s="93">
        <f t="shared" si="16"/>
        <v>206</v>
      </c>
    </row>
    <row r="400" ht="15" customHeight="1" hidden="1" thickBot="1">
      <c r="A400" s="93">
        <f t="shared" si="16"/>
        <v>205</v>
      </c>
    </row>
    <row r="401" ht="15" customHeight="1" hidden="1" thickBot="1">
      <c r="A401" s="93">
        <f t="shared" si="16"/>
        <v>204</v>
      </c>
    </row>
    <row r="402" ht="15" customHeight="1" hidden="1" thickBot="1">
      <c r="A402" s="93">
        <f t="shared" si="16"/>
        <v>203</v>
      </c>
    </row>
    <row r="403" ht="15" customHeight="1" hidden="1" thickBot="1">
      <c r="A403" s="93">
        <f t="shared" si="16"/>
        <v>202</v>
      </c>
    </row>
    <row r="404" ht="15" customHeight="1" hidden="1" thickBot="1">
      <c r="A404" s="93">
        <f t="shared" si="16"/>
        <v>201</v>
      </c>
    </row>
    <row r="405" ht="15" customHeight="1" hidden="1" thickBot="1">
      <c r="A405" s="93">
        <f t="shared" si="16"/>
        <v>200</v>
      </c>
    </row>
    <row r="406" ht="15" customHeight="1" hidden="1" thickBot="1">
      <c r="A406" s="93">
        <f t="shared" si="16"/>
        <v>199</v>
      </c>
    </row>
    <row r="407" ht="15" customHeight="1" hidden="1" thickBot="1">
      <c r="A407" s="93">
        <f t="shared" si="16"/>
        <v>198</v>
      </c>
    </row>
    <row r="408" ht="15" customHeight="1" hidden="1" thickBot="1">
      <c r="A408" s="93">
        <f t="shared" si="16"/>
        <v>197</v>
      </c>
    </row>
    <row r="409" ht="15" customHeight="1" hidden="1" thickBot="1">
      <c r="A409" s="93">
        <f t="shared" si="16"/>
        <v>196</v>
      </c>
    </row>
    <row r="410" ht="15" customHeight="1" hidden="1" thickBot="1">
      <c r="A410" s="93">
        <f t="shared" si="16"/>
        <v>195</v>
      </c>
    </row>
    <row r="411" ht="15" customHeight="1" hidden="1" thickBot="1">
      <c r="A411" s="93">
        <f t="shared" si="16"/>
        <v>194</v>
      </c>
    </row>
    <row r="412" ht="15" customHeight="1" hidden="1" thickBot="1">
      <c r="A412" s="93">
        <f t="shared" si="16"/>
        <v>193</v>
      </c>
    </row>
    <row r="413" ht="15" customHeight="1" hidden="1" thickBot="1">
      <c r="A413" s="93">
        <f t="shared" si="16"/>
        <v>192</v>
      </c>
    </row>
    <row r="414" ht="15" customHeight="1" hidden="1" thickBot="1">
      <c r="A414" s="93">
        <f t="shared" si="16"/>
        <v>191</v>
      </c>
    </row>
    <row r="415" ht="15" customHeight="1" hidden="1" thickBot="1">
      <c r="A415" s="93">
        <f t="shared" si="16"/>
        <v>190</v>
      </c>
    </row>
    <row r="416" ht="15" customHeight="1" hidden="1" thickBot="1">
      <c r="A416" s="93">
        <f t="shared" si="16"/>
        <v>189</v>
      </c>
    </row>
    <row r="417" ht="15" customHeight="1" hidden="1" thickBot="1">
      <c r="A417" s="93">
        <f t="shared" si="16"/>
        <v>188</v>
      </c>
    </row>
    <row r="418" ht="15" customHeight="1" hidden="1" thickBot="1">
      <c r="A418" s="93">
        <f t="shared" si="16"/>
        <v>187</v>
      </c>
    </row>
    <row r="419" ht="15" customHeight="1" hidden="1" thickBot="1">
      <c r="A419" s="93">
        <f t="shared" si="16"/>
        <v>186</v>
      </c>
    </row>
    <row r="420" ht="15" customHeight="1" hidden="1" thickBot="1">
      <c r="A420" s="93">
        <f t="shared" si="16"/>
        <v>185</v>
      </c>
    </row>
    <row r="421" ht="15" customHeight="1" hidden="1" thickBot="1">
      <c r="A421" s="93">
        <f t="shared" si="16"/>
        <v>184</v>
      </c>
    </row>
    <row r="422" ht="15" customHeight="1" hidden="1" thickBot="1">
      <c r="A422" s="93">
        <f t="shared" si="16"/>
        <v>183</v>
      </c>
    </row>
    <row r="423" ht="15" customHeight="1" hidden="1" thickBot="1">
      <c r="A423" s="93">
        <f t="shared" si="16"/>
        <v>182</v>
      </c>
    </row>
    <row r="424" ht="15" customHeight="1" hidden="1" thickBot="1">
      <c r="A424" s="93">
        <f t="shared" si="16"/>
        <v>181</v>
      </c>
    </row>
    <row r="425" ht="15" customHeight="1" hidden="1" thickBot="1">
      <c r="A425" s="93">
        <f t="shared" si="16"/>
        <v>180</v>
      </c>
    </row>
    <row r="426" ht="15" customHeight="1" hidden="1" thickBot="1">
      <c r="A426" s="93">
        <f t="shared" si="16"/>
        <v>179</v>
      </c>
    </row>
    <row r="427" ht="15" customHeight="1" hidden="1" thickBot="1">
      <c r="A427" s="93">
        <f t="shared" si="16"/>
        <v>178</v>
      </c>
    </row>
    <row r="428" ht="15" customHeight="1" hidden="1" thickBot="1">
      <c r="A428" s="93">
        <f t="shared" si="16"/>
        <v>177</v>
      </c>
    </row>
    <row r="429" ht="15" customHeight="1" hidden="1" thickBot="1">
      <c r="A429" s="93">
        <f t="shared" si="16"/>
        <v>176</v>
      </c>
    </row>
    <row r="430" ht="15" customHeight="1" hidden="1" thickBot="1">
      <c r="A430" s="93">
        <f t="shared" si="16"/>
        <v>175</v>
      </c>
    </row>
    <row r="431" ht="15" customHeight="1" hidden="1" thickBot="1">
      <c r="A431" s="93">
        <f t="shared" si="16"/>
        <v>174</v>
      </c>
    </row>
    <row r="432" ht="15" customHeight="1" hidden="1" thickBot="1">
      <c r="A432" s="93">
        <f t="shared" si="16"/>
        <v>173</v>
      </c>
    </row>
    <row r="433" ht="15" customHeight="1" hidden="1" thickBot="1">
      <c r="A433" s="93">
        <f t="shared" si="16"/>
        <v>172</v>
      </c>
    </row>
    <row r="434" ht="15" customHeight="1" hidden="1" thickBot="1">
      <c r="A434" s="93">
        <f t="shared" si="16"/>
        <v>171</v>
      </c>
    </row>
    <row r="435" ht="15" customHeight="1" hidden="1" thickBot="1">
      <c r="A435" s="93">
        <f t="shared" si="16"/>
        <v>170</v>
      </c>
    </row>
    <row r="436" ht="15" customHeight="1" hidden="1" thickBot="1">
      <c r="A436" s="93">
        <f t="shared" si="16"/>
        <v>169</v>
      </c>
    </row>
    <row r="437" ht="15" customHeight="1" hidden="1" thickBot="1">
      <c r="A437" s="93">
        <f t="shared" si="16"/>
        <v>168</v>
      </c>
    </row>
    <row r="438" ht="15" customHeight="1" hidden="1" thickBot="1">
      <c r="A438" s="93">
        <f t="shared" si="16"/>
        <v>167</v>
      </c>
    </row>
    <row r="439" ht="15" customHeight="1" hidden="1" thickBot="1">
      <c r="A439" s="93">
        <f t="shared" si="16"/>
        <v>166</v>
      </c>
    </row>
    <row r="440" ht="15" customHeight="1" hidden="1" thickBot="1">
      <c r="A440" s="93">
        <f t="shared" si="16"/>
        <v>165</v>
      </c>
    </row>
    <row r="441" ht="15" customHeight="1" hidden="1" thickBot="1">
      <c r="A441" s="93">
        <f t="shared" si="16"/>
        <v>164</v>
      </c>
    </row>
    <row r="442" ht="15" customHeight="1" hidden="1" thickBot="1">
      <c r="A442" s="93">
        <f t="shared" si="16"/>
        <v>163</v>
      </c>
    </row>
    <row r="443" ht="15" customHeight="1" hidden="1" thickBot="1">
      <c r="A443" s="93">
        <f t="shared" si="16"/>
        <v>162</v>
      </c>
    </row>
    <row r="444" ht="15" customHeight="1" hidden="1" thickBot="1">
      <c r="A444" s="93">
        <f t="shared" si="16"/>
        <v>161</v>
      </c>
    </row>
    <row r="445" ht="15" customHeight="1" hidden="1" thickBot="1">
      <c r="A445" s="93">
        <f t="shared" si="16"/>
        <v>160</v>
      </c>
    </row>
    <row r="446" ht="15" customHeight="1" hidden="1" thickBot="1">
      <c r="A446" s="93">
        <f t="shared" si="16"/>
        <v>159</v>
      </c>
    </row>
    <row r="447" ht="15" customHeight="1" hidden="1" thickBot="1">
      <c r="A447" s="93">
        <f t="shared" si="16"/>
        <v>158</v>
      </c>
    </row>
    <row r="448" ht="15" customHeight="1" hidden="1" thickBot="1">
      <c r="A448" s="93">
        <f t="shared" si="16"/>
        <v>157</v>
      </c>
    </row>
    <row r="449" ht="15" customHeight="1" hidden="1" thickBot="1">
      <c r="A449" s="93">
        <f t="shared" si="16"/>
        <v>156</v>
      </c>
    </row>
    <row r="450" ht="15" customHeight="1" hidden="1" thickBot="1">
      <c r="A450" s="93">
        <f t="shared" si="16"/>
        <v>155</v>
      </c>
    </row>
    <row r="451" ht="15" customHeight="1" hidden="1" thickBot="1">
      <c r="A451" s="93">
        <f t="shared" si="16"/>
        <v>154</v>
      </c>
    </row>
    <row r="452" ht="15" customHeight="1" hidden="1" thickBot="1">
      <c r="A452" s="93">
        <f t="shared" si="16"/>
        <v>153</v>
      </c>
    </row>
    <row r="453" ht="15" customHeight="1" hidden="1" thickBot="1">
      <c r="A453" s="93">
        <f t="shared" si="16"/>
        <v>152</v>
      </c>
    </row>
    <row r="454" ht="15" customHeight="1" hidden="1" thickBot="1">
      <c r="A454" s="93">
        <f t="shared" si="16"/>
        <v>151</v>
      </c>
    </row>
    <row r="455" ht="15" customHeight="1" hidden="1" thickBot="1">
      <c r="A455" s="93">
        <f t="shared" si="16"/>
        <v>150</v>
      </c>
    </row>
    <row r="456" ht="15" customHeight="1" hidden="1" thickBot="1">
      <c r="A456" s="93">
        <f t="shared" si="16"/>
        <v>149</v>
      </c>
    </row>
    <row r="457" ht="15" customHeight="1" hidden="1" thickBot="1">
      <c r="A457" s="93">
        <f t="shared" si="16"/>
        <v>148</v>
      </c>
    </row>
    <row r="458" ht="15" customHeight="1" hidden="1" thickBot="1">
      <c r="A458" s="93">
        <f aca="true" t="shared" si="17" ref="A458:A521">IF(ISTEXT(D459),1,1+A459)</f>
        <v>147</v>
      </c>
    </row>
    <row r="459" ht="15" customHeight="1" hidden="1" thickBot="1">
      <c r="A459" s="93">
        <f t="shared" si="17"/>
        <v>146</v>
      </c>
    </row>
    <row r="460" ht="15" customHeight="1" hidden="1" thickBot="1">
      <c r="A460" s="93">
        <f t="shared" si="17"/>
        <v>145</v>
      </c>
    </row>
    <row r="461" ht="15" customHeight="1" hidden="1" thickBot="1">
      <c r="A461" s="93">
        <f t="shared" si="17"/>
        <v>144</v>
      </c>
    </row>
    <row r="462" ht="15" customHeight="1" hidden="1" thickBot="1">
      <c r="A462" s="93">
        <f t="shared" si="17"/>
        <v>143</v>
      </c>
    </row>
    <row r="463" ht="15" customHeight="1" hidden="1" thickBot="1">
      <c r="A463" s="93">
        <f t="shared" si="17"/>
        <v>142</v>
      </c>
    </row>
    <row r="464" ht="15" customHeight="1" hidden="1" thickBot="1">
      <c r="A464" s="93">
        <f t="shared" si="17"/>
        <v>141</v>
      </c>
    </row>
    <row r="465" ht="15" customHeight="1" hidden="1" thickBot="1">
      <c r="A465" s="93">
        <f t="shared" si="17"/>
        <v>140</v>
      </c>
    </row>
    <row r="466" ht="15" customHeight="1" hidden="1" thickBot="1">
      <c r="A466" s="93">
        <f t="shared" si="17"/>
        <v>139</v>
      </c>
    </row>
    <row r="467" ht="15" customHeight="1" hidden="1" thickBot="1">
      <c r="A467" s="93">
        <f t="shared" si="17"/>
        <v>138</v>
      </c>
    </row>
    <row r="468" ht="15" customHeight="1" hidden="1" thickBot="1">
      <c r="A468" s="93">
        <f t="shared" si="17"/>
        <v>137</v>
      </c>
    </row>
    <row r="469" ht="15" customHeight="1" hidden="1" thickBot="1">
      <c r="A469" s="93">
        <f t="shared" si="17"/>
        <v>136</v>
      </c>
    </row>
    <row r="470" ht="15" customHeight="1" hidden="1" thickBot="1">
      <c r="A470" s="93">
        <f t="shared" si="17"/>
        <v>135</v>
      </c>
    </row>
    <row r="471" ht="15" customHeight="1" hidden="1" thickBot="1">
      <c r="A471" s="93">
        <f t="shared" si="17"/>
        <v>134</v>
      </c>
    </row>
    <row r="472" ht="15" customHeight="1" hidden="1" thickBot="1">
      <c r="A472" s="93">
        <f t="shared" si="17"/>
        <v>133</v>
      </c>
    </row>
    <row r="473" ht="15" customHeight="1" hidden="1" thickBot="1">
      <c r="A473" s="93">
        <f t="shared" si="17"/>
        <v>132</v>
      </c>
    </row>
    <row r="474" ht="15" customHeight="1" hidden="1" thickBot="1">
      <c r="A474" s="93">
        <f t="shared" si="17"/>
        <v>131</v>
      </c>
    </row>
    <row r="475" ht="15" customHeight="1" hidden="1" thickBot="1">
      <c r="A475" s="93">
        <f t="shared" si="17"/>
        <v>130</v>
      </c>
    </row>
    <row r="476" ht="15" customHeight="1" hidden="1" thickBot="1">
      <c r="A476" s="93">
        <f t="shared" si="17"/>
        <v>129</v>
      </c>
    </row>
    <row r="477" ht="15" customHeight="1" hidden="1" thickBot="1">
      <c r="A477" s="93">
        <f t="shared" si="17"/>
        <v>128</v>
      </c>
    </row>
    <row r="478" ht="15" customHeight="1" hidden="1" thickBot="1">
      <c r="A478" s="93">
        <f t="shared" si="17"/>
        <v>127</v>
      </c>
    </row>
    <row r="479" ht="15" customHeight="1" hidden="1" thickBot="1">
      <c r="A479" s="93">
        <f t="shared" si="17"/>
        <v>126</v>
      </c>
    </row>
    <row r="480" ht="15" customHeight="1" hidden="1" thickBot="1">
      <c r="A480" s="93">
        <f t="shared" si="17"/>
        <v>125</v>
      </c>
    </row>
    <row r="481" ht="15" customHeight="1" hidden="1" thickBot="1">
      <c r="A481" s="93">
        <f t="shared" si="17"/>
        <v>124</v>
      </c>
    </row>
    <row r="482" ht="15" customHeight="1" hidden="1" thickBot="1">
      <c r="A482" s="93">
        <f t="shared" si="17"/>
        <v>123</v>
      </c>
    </row>
    <row r="483" ht="15" customHeight="1" hidden="1" thickBot="1">
      <c r="A483" s="93">
        <f t="shared" si="17"/>
        <v>122</v>
      </c>
    </row>
    <row r="484" ht="15" customHeight="1" hidden="1" thickBot="1">
      <c r="A484" s="93">
        <f t="shared" si="17"/>
        <v>121</v>
      </c>
    </row>
    <row r="485" ht="15" customHeight="1" hidden="1" thickBot="1">
      <c r="A485" s="93">
        <f t="shared" si="17"/>
        <v>120</v>
      </c>
    </row>
    <row r="486" ht="15" customHeight="1" hidden="1" thickBot="1">
      <c r="A486" s="93">
        <f t="shared" si="17"/>
        <v>119</v>
      </c>
    </row>
    <row r="487" ht="15" customHeight="1" hidden="1" thickBot="1">
      <c r="A487" s="93">
        <f t="shared" si="17"/>
        <v>118</v>
      </c>
    </row>
    <row r="488" ht="15" customHeight="1" hidden="1" thickBot="1">
      <c r="A488" s="93">
        <f t="shared" si="17"/>
        <v>117</v>
      </c>
    </row>
    <row r="489" ht="15" customHeight="1" hidden="1" thickBot="1">
      <c r="A489" s="93">
        <f t="shared" si="17"/>
        <v>116</v>
      </c>
    </row>
    <row r="490" ht="15" customHeight="1" hidden="1" thickBot="1">
      <c r="A490" s="93">
        <f t="shared" si="17"/>
        <v>115</v>
      </c>
    </row>
    <row r="491" ht="15" customHeight="1" hidden="1" thickBot="1">
      <c r="A491" s="93">
        <f t="shared" si="17"/>
        <v>114</v>
      </c>
    </row>
    <row r="492" ht="15" customHeight="1" hidden="1" thickBot="1">
      <c r="A492" s="93">
        <f t="shared" si="17"/>
        <v>113</v>
      </c>
    </row>
    <row r="493" ht="15" customHeight="1" hidden="1" thickBot="1">
      <c r="A493" s="93">
        <f t="shared" si="17"/>
        <v>112</v>
      </c>
    </row>
    <row r="494" ht="15" customHeight="1" hidden="1" thickBot="1">
      <c r="A494" s="93">
        <f t="shared" si="17"/>
        <v>111</v>
      </c>
    </row>
    <row r="495" ht="15" customHeight="1" hidden="1" thickBot="1">
      <c r="A495" s="93">
        <f t="shared" si="17"/>
        <v>110</v>
      </c>
    </row>
    <row r="496" ht="15" customHeight="1" hidden="1" thickBot="1">
      <c r="A496" s="93">
        <f t="shared" si="17"/>
        <v>109</v>
      </c>
    </row>
    <row r="497" ht="15" customHeight="1" hidden="1" thickBot="1">
      <c r="A497" s="93">
        <f t="shared" si="17"/>
        <v>108</v>
      </c>
    </row>
    <row r="498" ht="15" customHeight="1" hidden="1" thickBot="1">
      <c r="A498" s="93">
        <f t="shared" si="17"/>
        <v>107</v>
      </c>
    </row>
    <row r="499" ht="15" customHeight="1" hidden="1" thickBot="1">
      <c r="A499" s="93">
        <f t="shared" si="17"/>
        <v>106</v>
      </c>
    </row>
    <row r="500" ht="15" customHeight="1" hidden="1" thickBot="1">
      <c r="A500" s="93">
        <f t="shared" si="17"/>
        <v>105</v>
      </c>
    </row>
    <row r="501" ht="15" customHeight="1" hidden="1" thickBot="1">
      <c r="A501" s="93">
        <f t="shared" si="17"/>
        <v>104</v>
      </c>
    </row>
    <row r="502" ht="15" customHeight="1" hidden="1" thickBot="1">
      <c r="A502" s="93">
        <f t="shared" si="17"/>
        <v>103</v>
      </c>
    </row>
    <row r="503" ht="15" customHeight="1" hidden="1" thickBot="1">
      <c r="A503" s="93">
        <f t="shared" si="17"/>
        <v>102</v>
      </c>
    </row>
    <row r="504" ht="15" customHeight="1" hidden="1" thickBot="1">
      <c r="A504" s="93">
        <f t="shared" si="17"/>
        <v>101</v>
      </c>
    </row>
    <row r="505" ht="15" customHeight="1" hidden="1" thickBot="1">
      <c r="A505" s="93">
        <f t="shared" si="17"/>
        <v>100</v>
      </c>
    </row>
    <row r="506" ht="15" customHeight="1" hidden="1" thickBot="1">
      <c r="A506" s="93">
        <f t="shared" si="17"/>
        <v>99</v>
      </c>
    </row>
    <row r="507" ht="15" customHeight="1" hidden="1" thickBot="1">
      <c r="A507" s="93">
        <f t="shared" si="17"/>
        <v>98</v>
      </c>
    </row>
    <row r="508" ht="15" customHeight="1" hidden="1" thickBot="1">
      <c r="A508" s="93">
        <f t="shared" si="17"/>
        <v>97</v>
      </c>
    </row>
    <row r="509" ht="15" customHeight="1" hidden="1" thickBot="1">
      <c r="A509" s="93">
        <f t="shared" si="17"/>
        <v>96</v>
      </c>
    </row>
    <row r="510" ht="15" customHeight="1" hidden="1" thickBot="1">
      <c r="A510" s="93">
        <f t="shared" si="17"/>
        <v>95</v>
      </c>
    </row>
    <row r="511" ht="15" customHeight="1" hidden="1" thickBot="1">
      <c r="A511" s="93">
        <f t="shared" si="17"/>
        <v>94</v>
      </c>
    </row>
    <row r="512" ht="15" customHeight="1" hidden="1" thickBot="1">
      <c r="A512" s="93">
        <f t="shared" si="17"/>
        <v>93</v>
      </c>
    </row>
    <row r="513" ht="15" customHeight="1" hidden="1" thickBot="1">
      <c r="A513" s="93">
        <f t="shared" si="17"/>
        <v>92</v>
      </c>
    </row>
    <row r="514" ht="15" customHeight="1" hidden="1" thickBot="1">
      <c r="A514" s="93">
        <f t="shared" si="17"/>
        <v>91</v>
      </c>
    </row>
    <row r="515" ht="15" customHeight="1" hidden="1" thickBot="1">
      <c r="A515" s="93">
        <f t="shared" si="17"/>
        <v>90</v>
      </c>
    </row>
    <row r="516" ht="15" customHeight="1" hidden="1" thickBot="1">
      <c r="A516" s="93">
        <f t="shared" si="17"/>
        <v>89</v>
      </c>
    </row>
    <row r="517" ht="15" customHeight="1" hidden="1" thickBot="1">
      <c r="A517" s="93">
        <f t="shared" si="17"/>
        <v>88</v>
      </c>
    </row>
    <row r="518" ht="15" customHeight="1" hidden="1" thickBot="1">
      <c r="A518" s="93">
        <f t="shared" si="17"/>
        <v>87</v>
      </c>
    </row>
    <row r="519" ht="15" customHeight="1" hidden="1" thickBot="1">
      <c r="A519" s="93">
        <f t="shared" si="17"/>
        <v>86</v>
      </c>
    </row>
    <row r="520" ht="15" customHeight="1" hidden="1" thickBot="1">
      <c r="A520" s="93">
        <f t="shared" si="17"/>
        <v>85</v>
      </c>
    </row>
    <row r="521" ht="15" customHeight="1" hidden="1" thickBot="1">
      <c r="A521" s="93">
        <f t="shared" si="17"/>
        <v>84</v>
      </c>
    </row>
    <row r="522" ht="15" customHeight="1" hidden="1" thickBot="1">
      <c r="A522" s="93">
        <f aca="true" t="shared" si="18" ref="A522:A585">IF(ISTEXT(D523),1,1+A523)</f>
        <v>83</v>
      </c>
    </row>
    <row r="523" ht="15" customHeight="1" hidden="1" thickBot="1">
      <c r="A523" s="93">
        <f t="shared" si="18"/>
        <v>82</v>
      </c>
    </row>
    <row r="524" ht="15" customHeight="1" hidden="1" thickBot="1">
      <c r="A524" s="93">
        <f t="shared" si="18"/>
        <v>81</v>
      </c>
    </row>
    <row r="525" ht="15" customHeight="1" hidden="1" thickBot="1">
      <c r="A525" s="93">
        <f t="shared" si="18"/>
        <v>80</v>
      </c>
    </row>
    <row r="526" ht="15" customHeight="1" hidden="1" thickBot="1">
      <c r="A526" s="93">
        <f t="shared" si="18"/>
        <v>79</v>
      </c>
    </row>
    <row r="527" ht="15" customHeight="1" hidden="1" thickBot="1">
      <c r="A527" s="93">
        <f t="shared" si="18"/>
        <v>78</v>
      </c>
    </row>
    <row r="528" ht="15" customHeight="1" hidden="1" thickBot="1">
      <c r="A528" s="93">
        <f t="shared" si="18"/>
        <v>77</v>
      </c>
    </row>
    <row r="529" ht="15" customHeight="1" hidden="1" thickBot="1">
      <c r="A529" s="93">
        <f t="shared" si="18"/>
        <v>76</v>
      </c>
    </row>
    <row r="530" ht="15" customHeight="1" hidden="1" thickBot="1">
      <c r="A530" s="93">
        <f t="shared" si="18"/>
        <v>75</v>
      </c>
    </row>
    <row r="531" ht="15" customHeight="1" hidden="1" thickBot="1">
      <c r="A531" s="93">
        <f t="shared" si="18"/>
        <v>74</v>
      </c>
    </row>
    <row r="532" ht="15" customHeight="1" hidden="1" thickBot="1">
      <c r="A532" s="93">
        <f t="shared" si="18"/>
        <v>73</v>
      </c>
    </row>
    <row r="533" ht="15" customHeight="1" hidden="1" thickBot="1">
      <c r="A533" s="93">
        <f t="shared" si="18"/>
        <v>72</v>
      </c>
    </row>
    <row r="534" ht="15" customHeight="1" hidden="1" thickBot="1">
      <c r="A534" s="93">
        <f t="shared" si="18"/>
        <v>71</v>
      </c>
    </row>
    <row r="535" ht="15" customHeight="1" hidden="1" thickBot="1">
      <c r="A535" s="93">
        <f t="shared" si="18"/>
        <v>70</v>
      </c>
    </row>
    <row r="536" ht="15" customHeight="1" hidden="1" thickBot="1">
      <c r="A536" s="93">
        <f t="shared" si="18"/>
        <v>69</v>
      </c>
    </row>
    <row r="537" ht="15" customHeight="1" hidden="1" thickBot="1">
      <c r="A537" s="93">
        <f t="shared" si="18"/>
        <v>68</v>
      </c>
    </row>
    <row r="538" ht="15" customHeight="1" hidden="1" thickBot="1">
      <c r="A538" s="93">
        <f t="shared" si="18"/>
        <v>67</v>
      </c>
    </row>
    <row r="539" ht="15" customHeight="1" hidden="1" thickBot="1">
      <c r="A539" s="93">
        <f t="shared" si="18"/>
        <v>66</v>
      </c>
    </row>
    <row r="540" ht="15" customHeight="1" hidden="1" thickBot="1">
      <c r="A540" s="93">
        <f t="shared" si="18"/>
        <v>65</v>
      </c>
    </row>
    <row r="541" ht="15" customHeight="1" hidden="1" thickBot="1">
      <c r="A541" s="93">
        <f t="shared" si="18"/>
        <v>64</v>
      </c>
    </row>
    <row r="542" ht="15" customHeight="1" hidden="1" thickBot="1">
      <c r="A542" s="93">
        <f t="shared" si="18"/>
        <v>63</v>
      </c>
    </row>
    <row r="543" ht="15" customHeight="1" hidden="1" thickBot="1">
      <c r="A543" s="93">
        <f t="shared" si="18"/>
        <v>62</v>
      </c>
    </row>
    <row r="544" ht="15" customHeight="1" hidden="1" thickBot="1">
      <c r="A544" s="93">
        <f t="shared" si="18"/>
        <v>61</v>
      </c>
    </row>
    <row r="545" ht="15" customHeight="1" hidden="1" thickBot="1">
      <c r="A545" s="93">
        <f t="shared" si="18"/>
        <v>60</v>
      </c>
    </row>
    <row r="546" ht="15" customHeight="1" hidden="1" thickBot="1">
      <c r="A546" s="93">
        <f t="shared" si="18"/>
        <v>59</v>
      </c>
    </row>
    <row r="547" ht="15" customHeight="1" hidden="1" thickBot="1">
      <c r="A547" s="93">
        <f t="shared" si="18"/>
        <v>58</v>
      </c>
    </row>
    <row r="548" ht="15" customHeight="1" hidden="1" thickBot="1">
      <c r="A548" s="93">
        <f t="shared" si="18"/>
        <v>57</v>
      </c>
    </row>
    <row r="549" ht="15" customHeight="1" hidden="1" thickBot="1">
      <c r="A549" s="93">
        <f t="shared" si="18"/>
        <v>56</v>
      </c>
    </row>
    <row r="550" ht="15" customHeight="1" hidden="1" thickBot="1">
      <c r="A550" s="93">
        <f t="shared" si="18"/>
        <v>55</v>
      </c>
    </row>
    <row r="551" ht="15" customHeight="1" hidden="1" thickBot="1">
      <c r="A551" s="93">
        <f t="shared" si="18"/>
        <v>54</v>
      </c>
    </row>
    <row r="552" ht="15" customHeight="1" hidden="1" thickBot="1">
      <c r="A552" s="93">
        <f t="shared" si="18"/>
        <v>53</v>
      </c>
    </row>
    <row r="553" ht="15" customHeight="1" hidden="1" thickBot="1">
      <c r="A553" s="93">
        <f t="shared" si="18"/>
        <v>52</v>
      </c>
    </row>
    <row r="554" ht="15" customHeight="1" hidden="1" thickBot="1">
      <c r="A554" s="93">
        <f t="shared" si="18"/>
        <v>51</v>
      </c>
    </row>
    <row r="555" ht="15" customHeight="1" hidden="1" thickBot="1">
      <c r="A555" s="93">
        <f t="shared" si="18"/>
        <v>50</v>
      </c>
    </row>
    <row r="556" ht="15" customHeight="1" hidden="1" thickBot="1">
      <c r="A556" s="93">
        <f t="shared" si="18"/>
        <v>49</v>
      </c>
    </row>
    <row r="557" ht="15" customHeight="1" hidden="1" thickBot="1">
      <c r="A557" s="93">
        <f t="shared" si="18"/>
        <v>48</v>
      </c>
    </row>
    <row r="558" ht="15" customHeight="1" hidden="1" thickBot="1">
      <c r="A558" s="93">
        <f t="shared" si="18"/>
        <v>47</v>
      </c>
    </row>
    <row r="559" ht="15" customHeight="1" hidden="1" thickBot="1">
      <c r="A559" s="93">
        <f t="shared" si="18"/>
        <v>46</v>
      </c>
    </row>
    <row r="560" ht="15" customHeight="1" hidden="1" thickBot="1">
      <c r="A560" s="93">
        <f t="shared" si="18"/>
        <v>45</v>
      </c>
    </row>
    <row r="561" ht="15" customHeight="1" hidden="1" thickBot="1">
      <c r="A561" s="93">
        <f t="shared" si="18"/>
        <v>44</v>
      </c>
    </row>
    <row r="562" ht="15" customHeight="1" hidden="1" thickBot="1">
      <c r="A562" s="93">
        <f t="shared" si="18"/>
        <v>43</v>
      </c>
    </row>
    <row r="563" ht="15" customHeight="1" hidden="1" thickBot="1">
      <c r="A563" s="93">
        <f t="shared" si="18"/>
        <v>42</v>
      </c>
    </row>
    <row r="564" ht="15" customHeight="1" hidden="1" thickBot="1">
      <c r="A564" s="93">
        <f t="shared" si="18"/>
        <v>41</v>
      </c>
    </row>
    <row r="565" ht="15" customHeight="1" hidden="1" thickBot="1">
      <c r="A565" s="93">
        <f t="shared" si="18"/>
        <v>40</v>
      </c>
    </row>
    <row r="566" ht="15" customHeight="1" hidden="1" thickBot="1">
      <c r="A566" s="93">
        <f t="shared" si="18"/>
        <v>39</v>
      </c>
    </row>
    <row r="567" ht="15" customHeight="1" hidden="1" thickBot="1">
      <c r="A567" s="93">
        <f t="shared" si="18"/>
        <v>38</v>
      </c>
    </row>
    <row r="568" ht="15" customHeight="1" hidden="1" thickBot="1">
      <c r="A568" s="93">
        <f t="shared" si="18"/>
        <v>37</v>
      </c>
    </row>
    <row r="569" ht="15" customHeight="1" hidden="1" thickBot="1">
      <c r="A569" s="93">
        <f t="shared" si="18"/>
        <v>36</v>
      </c>
    </row>
    <row r="570" ht="15" customHeight="1" hidden="1" thickBot="1">
      <c r="A570" s="93">
        <f t="shared" si="18"/>
        <v>35</v>
      </c>
    </row>
    <row r="571" ht="15" customHeight="1" hidden="1" thickBot="1">
      <c r="A571" s="93">
        <f t="shared" si="18"/>
        <v>34</v>
      </c>
    </row>
    <row r="572" ht="15" customHeight="1" hidden="1" thickBot="1">
      <c r="A572" s="93">
        <f t="shared" si="18"/>
        <v>33</v>
      </c>
    </row>
    <row r="573" ht="15" customHeight="1" hidden="1" thickBot="1">
      <c r="A573" s="93">
        <f t="shared" si="18"/>
        <v>32</v>
      </c>
    </row>
    <row r="574" ht="15" customHeight="1" hidden="1" thickBot="1">
      <c r="A574" s="93">
        <f t="shared" si="18"/>
        <v>31</v>
      </c>
    </row>
    <row r="575" ht="15" customHeight="1" hidden="1" thickBot="1">
      <c r="A575" s="93">
        <f t="shared" si="18"/>
        <v>30</v>
      </c>
    </row>
    <row r="576" ht="15" customHeight="1" hidden="1" thickBot="1">
      <c r="A576" s="93">
        <f t="shared" si="18"/>
        <v>29</v>
      </c>
    </row>
    <row r="577" ht="15" customHeight="1" hidden="1" thickBot="1">
      <c r="A577" s="93">
        <f t="shared" si="18"/>
        <v>28</v>
      </c>
    </row>
    <row r="578" ht="15" customHeight="1" hidden="1" thickBot="1">
      <c r="A578" s="93">
        <f t="shared" si="18"/>
        <v>27</v>
      </c>
    </row>
    <row r="579" ht="15" customHeight="1" hidden="1" thickBot="1">
      <c r="A579" s="93">
        <f t="shared" si="18"/>
        <v>26</v>
      </c>
    </row>
    <row r="580" ht="15" customHeight="1" hidden="1" thickBot="1">
      <c r="A580" s="93">
        <f t="shared" si="18"/>
        <v>25</v>
      </c>
    </row>
    <row r="581" ht="15" customHeight="1" hidden="1" thickBot="1">
      <c r="A581" s="93">
        <f t="shared" si="18"/>
        <v>24</v>
      </c>
    </row>
    <row r="582" ht="15" customHeight="1" hidden="1" thickBot="1">
      <c r="A582" s="93">
        <f t="shared" si="18"/>
        <v>23</v>
      </c>
    </row>
    <row r="583" ht="15" customHeight="1" hidden="1" thickBot="1">
      <c r="A583" s="93">
        <f t="shared" si="18"/>
        <v>22</v>
      </c>
    </row>
    <row r="584" ht="15" customHeight="1" hidden="1" thickBot="1">
      <c r="A584" s="93">
        <f t="shared" si="18"/>
        <v>21</v>
      </c>
    </row>
    <row r="585" ht="15" customHeight="1" hidden="1" thickBot="1">
      <c r="A585" s="93">
        <f t="shared" si="18"/>
        <v>20</v>
      </c>
    </row>
    <row r="586" ht="15" customHeight="1" hidden="1" thickBot="1">
      <c r="A586" s="93">
        <f aca="true" t="shared" si="19" ref="A586:A600">IF(ISTEXT(D587),1,1+A587)</f>
        <v>19</v>
      </c>
    </row>
    <row r="587" ht="15" customHeight="1" hidden="1" thickBot="1">
      <c r="A587" s="93">
        <f t="shared" si="19"/>
        <v>18</v>
      </c>
    </row>
    <row r="588" ht="15" customHeight="1" hidden="1" thickBot="1">
      <c r="A588" s="93">
        <f t="shared" si="19"/>
        <v>17</v>
      </c>
    </row>
    <row r="589" ht="15" customHeight="1" hidden="1" thickBot="1">
      <c r="A589" s="93">
        <f t="shared" si="19"/>
        <v>16</v>
      </c>
    </row>
    <row r="590" ht="15" customHeight="1" hidden="1" thickBot="1">
      <c r="A590" s="93">
        <f t="shared" si="19"/>
        <v>15</v>
      </c>
    </row>
    <row r="591" ht="15" customHeight="1" hidden="1" thickBot="1">
      <c r="A591" s="93">
        <f t="shared" si="19"/>
        <v>14</v>
      </c>
    </row>
    <row r="592" ht="15" customHeight="1" hidden="1" thickBot="1">
      <c r="A592" s="93">
        <f t="shared" si="19"/>
        <v>13</v>
      </c>
    </row>
    <row r="593" ht="15" customHeight="1" hidden="1" thickBot="1">
      <c r="A593" s="93">
        <f t="shared" si="19"/>
        <v>12</v>
      </c>
    </row>
    <row r="594" ht="15" customHeight="1" hidden="1" thickBot="1">
      <c r="A594" s="93">
        <f t="shared" si="19"/>
        <v>11</v>
      </c>
    </row>
    <row r="595" ht="15" customHeight="1" hidden="1" thickBot="1">
      <c r="A595" s="93">
        <f t="shared" si="19"/>
        <v>10</v>
      </c>
    </row>
    <row r="596" ht="15" customHeight="1" hidden="1" thickBot="1">
      <c r="A596" s="93">
        <f t="shared" si="19"/>
        <v>9</v>
      </c>
    </row>
    <row r="597" ht="15" customHeight="1" hidden="1" thickBot="1">
      <c r="A597" s="93">
        <f t="shared" si="19"/>
        <v>8</v>
      </c>
    </row>
    <row r="598" ht="15" customHeight="1" hidden="1" thickBot="1">
      <c r="A598" s="93">
        <f t="shared" si="19"/>
        <v>7</v>
      </c>
    </row>
    <row r="599" ht="15" customHeight="1" hidden="1" thickBot="1">
      <c r="A599" s="93">
        <f t="shared" si="19"/>
        <v>6</v>
      </c>
    </row>
    <row r="600" ht="15" customHeight="1" hidden="1" thickBot="1">
      <c r="A600" s="93">
        <f t="shared" si="19"/>
        <v>5</v>
      </c>
    </row>
    <row r="601" ht="15" customHeight="1" hidden="1" thickBot="1">
      <c r="A601" s="93">
        <f>IF(ISTEXT(D602),1,1+A602)</f>
        <v>4</v>
      </c>
    </row>
    <row r="602" ht="15" customHeight="1" hidden="1" thickBot="1">
      <c r="A602" s="93">
        <f>IF(ISTEXT(D603),1,1+A603)</f>
        <v>3</v>
      </c>
    </row>
    <row r="603" ht="15" customHeight="1" hidden="1" thickBot="1">
      <c r="A603" s="93">
        <f>IF(ISTEXT(D604),1,1+A604)</f>
        <v>2</v>
      </c>
    </row>
    <row r="604" ht="15" customHeight="1" hidden="1" thickBot="1">
      <c r="A604" s="93">
        <f>IF(ISTEXT(D605),1,1+A605)</f>
        <v>1</v>
      </c>
    </row>
    <row r="617" ht="12"/>
    <row r="618" ht="12"/>
    <row r="619" ht="12"/>
    <row r="637" ht="12"/>
    <row r="638" ht="12"/>
  </sheetData>
  <sheetProtection sheet="1" selectLockedCells="1" selectUnlockedCells="1"/>
  <printOptions/>
  <pageMargins left="0.75" right="0.75" top="1" bottom="1" header="0.5" footer="0.5"/>
  <pageSetup blackAndWhite="1" fitToHeight="1" fitToWidth="1" horizontalDpi="600" verticalDpi="600" orientation="portrait" scale="55"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AN666"/>
  <sheetViews>
    <sheetView zoomScale="85" zoomScaleNormal="85" workbookViewId="0" topLeftCell="C1">
      <pane ySplit="10" topLeftCell="BM11" activePane="bottomLeft" state="frozen"/>
      <selection pane="topLeft" activeCell="C42" sqref="C42"/>
      <selection pane="bottomLeft" activeCell="E70" sqref="E70"/>
    </sheetView>
  </sheetViews>
  <sheetFormatPr defaultColWidth="9.140625" defaultRowHeight="12.75"/>
  <cols>
    <col min="1" max="1" width="0.5625" style="403" hidden="1" customWidth="1"/>
    <col min="2" max="2" width="4.8515625" style="399" hidden="1" customWidth="1"/>
    <col min="3" max="3" width="3.421875" style="399" customWidth="1"/>
    <col min="4" max="4" width="0.5625" style="399" customWidth="1"/>
    <col min="5" max="5" width="24.00390625" style="399" customWidth="1"/>
    <col min="6" max="6" width="22.421875" style="399" customWidth="1"/>
    <col min="7" max="7" width="12.8515625" style="399" customWidth="1"/>
    <col min="8" max="8" width="13.140625" style="399" customWidth="1"/>
    <col min="9" max="9" width="18.7109375" style="399" customWidth="1"/>
    <col min="10" max="10" width="9.8515625" style="399" customWidth="1"/>
    <col min="11" max="11" width="9.7109375" style="399" customWidth="1"/>
    <col min="12" max="12" width="13.421875" style="437" customWidth="1"/>
    <col min="13" max="13" width="3.28125" style="399" customWidth="1"/>
    <col min="14" max="14" width="14.8515625" style="399" customWidth="1"/>
    <col min="15" max="15" width="8.00390625" style="399" customWidth="1"/>
    <col min="16" max="17" width="7.8515625" style="399" customWidth="1"/>
    <col min="18" max="16384" width="9.140625" style="399" customWidth="1"/>
  </cols>
  <sheetData>
    <row r="1" spans="1:35" s="367" customFormat="1" ht="0.75" customHeight="1">
      <c r="A1" s="366"/>
      <c r="B1" s="366"/>
      <c r="C1" s="366"/>
      <c r="D1" s="366"/>
      <c r="E1" s="366"/>
      <c r="F1" s="366"/>
      <c r="G1" s="366"/>
      <c r="H1" s="366"/>
      <c r="I1" s="366"/>
      <c r="J1" s="366"/>
      <c r="K1" s="366"/>
      <c r="L1" s="416"/>
      <c r="M1" s="366"/>
      <c r="N1" s="366"/>
      <c r="O1" s="366"/>
      <c r="P1" s="366"/>
      <c r="Q1" s="366"/>
      <c r="R1" s="366"/>
      <c r="S1" s="366"/>
      <c r="T1" s="366"/>
      <c r="U1" s="366"/>
      <c r="V1" s="366"/>
      <c r="W1" s="366"/>
      <c r="X1" s="366"/>
      <c r="Y1" s="366"/>
      <c r="Z1" s="366"/>
      <c r="AA1" s="366"/>
      <c r="AB1" s="366"/>
      <c r="AC1" s="366"/>
      <c r="AD1" s="366"/>
      <c r="AE1" s="366"/>
      <c r="AF1" s="366"/>
      <c r="AG1" s="366"/>
      <c r="AH1" s="366"/>
      <c r="AI1" s="366"/>
    </row>
    <row r="2" spans="1:35" s="367" customFormat="1" ht="15.75" customHeight="1" hidden="1">
      <c r="A2" s="366"/>
      <c r="B2" s="366"/>
      <c r="C2" s="366"/>
      <c r="D2" s="366"/>
      <c r="E2" s="366"/>
      <c r="F2" s="366"/>
      <c r="G2" s="366"/>
      <c r="H2" s="366"/>
      <c r="I2" s="366"/>
      <c r="J2" s="366"/>
      <c r="K2" s="366"/>
      <c r="L2" s="41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1:35" s="369" customFormat="1" ht="6" customHeight="1">
      <c r="A3" s="368"/>
      <c r="B3" s="368"/>
      <c r="C3" s="368"/>
      <c r="D3" s="368"/>
      <c r="E3" s="368"/>
      <c r="F3" s="368"/>
      <c r="G3" s="368"/>
      <c r="H3" s="368"/>
      <c r="I3" s="368"/>
      <c r="J3" s="368"/>
      <c r="K3" s="368"/>
      <c r="L3" s="417"/>
      <c r="M3" s="368"/>
      <c r="N3" s="368"/>
      <c r="O3" s="368"/>
      <c r="P3" s="368"/>
      <c r="Q3" s="368"/>
      <c r="R3" s="368"/>
      <c r="S3" s="368"/>
      <c r="T3" s="368"/>
      <c r="U3" s="368"/>
      <c r="V3" s="368"/>
      <c r="W3" s="368"/>
      <c r="X3" s="368"/>
      <c r="Y3" s="368"/>
      <c r="Z3" s="368"/>
      <c r="AA3" s="368"/>
      <c r="AB3" s="368"/>
      <c r="AC3" s="368"/>
      <c r="AD3" s="368"/>
      <c r="AE3" s="368"/>
      <c r="AF3" s="368"/>
      <c r="AG3" s="368"/>
      <c r="AH3" s="368"/>
      <c r="AI3" s="368"/>
    </row>
    <row r="4" spans="1:35" s="373" customFormat="1" ht="21.75" customHeight="1" thickBot="1">
      <c r="A4" s="370"/>
      <c r="B4" s="370"/>
      <c r="C4" s="371" t="s">
        <v>911</v>
      </c>
      <c r="D4" s="372"/>
      <c r="E4" s="372"/>
      <c r="F4" s="372"/>
      <c r="G4" s="372"/>
      <c r="H4" s="370"/>
      <c r="I4" s="362"/>
      <c r="J4" s="362"/>
      <c r="K4" s="362"/>
      <c r="L4" s="418"/>
      <c r="M4" s="362"/>
      <c r="N4" s="362"/>
      <c r="O4" s="362"/>
      <c r="P4" s="362"/>
      <c r="Q4" s="362"/>
      <c r="R4" s="362"/>
      <c r="S4" s="362"/>
      <c r="T4" s="362"/>
      <c r="U4" s="362"/>
      <c r="V4" s="362"/>
      <c r="W4" s="362"/>
      <c r="X4" s="362"/>
      <c r="Y4" s="370"/>
      <c r="Z4" s="370"/>
      <c r="AA4" s="370"/>
      <c r="AB4" s="370"/>
      <c r="AC4" s="370"/>
      <c r="AD4" s="370"/>
      <c r="AE4" s="370"/>
      <c r="AF4" s="370"/>
      <c r="AG4" s="370"/>
      <c r="AH4" s="370"/>
      <c r="AI4" s="370"/>
    </row>
    <row r="5" spans="1:34" s="378" customFormat="1" ht="12.75" customHeight="1" thickBot="1">
      <c r="A5" s="374"/>
      <c r="B5" s="374"/>
      <c r="C5" s="375" t="s">
        <v>884</v>
      </c>
      <c r="D5" s="374"/>
      <c r="E5" s="376"/>
      <c r="F5" s="376"/>
      <c r="G5" s="376"/>
      <c r="H5" s="377"/>
      <c r="I5" s="377"/>
      <c r="J5" s="377"/>
      <c r="K5" s="377"/>
      <c r="L5" s="419"/>
      <c r="M5" s="374"/>
      <c r="N5" s="789" t="s">
        <v>722</v>
      </c>
      <c r="O5" s="790"/>
      <c r="P5" s="1030" t="s">
        <v>728</v>
      </c>
      <c r="Q5" s="1031"/>
      <c r="R5" s="374"/>
      <c r="S5" s="374"/>
      <c r="T5" s="374"/>
      <c r="U5" s="374"/>
      <c r="V5" s="374"/>
      <c r="W5" s="374"/>
      <c r="X5" s="377"/>
      <c r="Y5" s="377"/>
      <c r="Z5" s="377"/>
      <c r="AA5" s="377"/>
      <c r="AB5" s="374"/>
      <c r="AC5" s="374"/>
      <c r="AD5" s="374"/>
      <c r="AE5" s="374"/>
      <c r="AF5" s="374"/>
      <c r="AG5" s="374"/>
      <c r="AH5" s="374"/>
    </row>
    <row r="6" spans="1:29" s="379" customFormat="1" ht="14.25" customHeight="1" thickBot="1">
      <c r="A6" s="93">
        <f>IF(ISTEXT(D7),1,1+A7)</f>
        <v>5</v>
      </c>
      <c r="C6" s="380"/>
      <c r="D6" s="380"/>
      <c r="E6" s="379" t="s">
        <v>23</v>
      </c>
      <c r="F6" s="379" t="s">
        <v>24</v>
      </c>
      <c r="H6" s="380" t="s">
        <v>25</v>
      </c>
      <c r="I6" s="379" t="s">
        <v>26</v>
      </c>
      <c r="J6" s="381" t="s">
        <v>27</v>
      </c>
      <c r="K6" s="381" t="s">
        <v>28</v>
      </c>
      <c r="L6" s="420" t="s">
        <v>29</v>
      </c>
      <c r="N6" s="796" t="s">
        <v>730</v>
      </c>
      <c r="O6" s="791"/>
      <c r="P6" s="792" t="s">
        <v>314</v>
      </c>
      <c r="Q6" s="793" t="s">
        <v>65</v>
      </c>
      <c r="Z6" s="380"/>
      <c r="AA6" s="380"/>
      <c r="AB6" s="380"/>
      <c r="AC6" s="380"/>
    </row>
    <row r="7" spans="1:29" s="382" customFormat="1" ht="12.75" thickBot="1">
      <c r="A7" s="93">
        <f aca="true" t="shared" si="0" ref="A7:A70">IF(ISTEXT(D8),1,1+A8)</f>
        <v>4</v>
      </c>
      <c r="C7" s="383"/>
      <c r="D7" s="383"/>
      <c r="E7" s="383"/>
      <c r="F7" s="384" t="s">
        <v>132</v>
      </c>
      <c r="G7" s="385"/>
      <c r="H7" s="385"/>
      <c r="I7" s="386"/>
      <c r="J7" s="384" t="s">
        <v>133</v>
      </c>
      <c r="K7" s="385"/>
      <c r="L7" s="421"/>
      <c r="M7" s="387"/>
      <c r="N7" s="797" t="s">
        <v>727</v>
      </c>
      <c r="O7" s="798">
        <v>24</v>
      </c>
      <c r="P7" s="794">
        <f>LOOKUP(O7,get_gasgperkm)/1000*1.6093</f>
        <v>0.37569279166666675</v>
      </c>
      <c r="Q7" s="795">
        <f>LOOKUP(O7,get_dieselgperkm)/1000*1.6093</f>
        <v>0.43303096812500014</v>
      </c>
      <c r="R7" s="387"/>
      <c r="S7" s="387"/>
      <c r="T7" s="387"/>
      <c r="U7" s="387"/>
      <c r="V7" s="387"/>
      <c r="W7" s="387"/>
      <c r="X7" s="387"/>
      <c r="Y7" s="387"/>
      <c r="Z7" s="383"/>
      <c r="AA7" s="383"/>
      <c r="AB7" s="383"/>
      <c r="AC7" s="383"/>
    </row>
    <row r="8" spans="1:29" s="382" customFormat="1" ht="12.75" thickBot="1">
      <c r="A8" s="93">
        <f t="shared" si="0"/>
        <v>3</v>
      </c>
      <c r="C8" s="383"/>
      <c r="D8" s="383"/>
      <c r="E8" s="388"/>
      <c r="F8" s="650"/>
      <c r="G8" s="651"/>
      <c r="H8" s="422" t="s">
        <v>135</v>
      </c>
      <c r="I8" s="423"/>
      <c r="J8" s="384" t="s">
        <v>136</v>
      </c>
      <c r="K8" s="386"/>
      <c r="L8" s="424" t="s">
        <v>137</v>
      </c>
      <c r="M8" s="387"/>
      <c r="N8" s="797"/>
      <c r="O8" s="791"/>
      <c r="P8" s="1032" t="s">
        <v>731</v>
      </c>
      <c r="Q8" s="1033"/>
      <c r="R8" s="387"/>
      <c r="S8" s="387"/>
      <c r="T8" s="387"/>
      <c r="U8" s="387"/>
      <c r="V8" s="387"/>
      <c r="W8" s="387"/>
      <c r="X8" s="387"/>
      <c r="Y8" s="387"/>
      <c r="Z8" s="383"/>
      <c r="AA8" s="383"/>
      <c r="AB8" s="383"/>
      <c r="AC8" s="383"/>
    </row>
    <row r="9" spans="1:29" s="382" customFormat="1" ht="14.25" customHeight="1" thickBot="1">
      <c r="A9" s="93">
        <f t="shared" si="0"/>
        <v>2</v>
      </c>
      <c r="C9" s="383"/>
      <c r="D9" s="383"/>
      <c r="E9" s="388"/>
      <c r="F9" s="389"/>
      <c r="G9" s="652"/>
      <c r="H9" s="425" t="s">
        <v>138</v>
      </c>
      <c r="I9" s="426"/>
      <c r="J9" s="390" t="s">
        <v>46</v>
      </c>
      <c r="K9" s="390" t="s">
        <v>47</v>
      </c>
      <c r="L9" s="424" t="s">
        <v>882</v>
      </c>
      <c r="M9" s="387"/>
      <c r="N9" s="801" t="s">
        <v>729</v>
      </c>
      <c r="O9" s="802">
        <v>3.9</v>
      </c>
      <c r="P9" s="803">
        <f>O9*2.3822/100</f>
        <v>0.0929058</v>
      </c>
      <c r="Q9" s="804">
        <f>O9*2.7458/100</f>
        <v>0.10708619999999999</v>
      </c>
      <c r="R9" s="387"/>
      <c r="S9" s="387"/>
      <c r="T9" s="387"/>
      <c r="U9" s="387"/>
      <c r="V9" s="387"/>
      <c r="W9" s="387"/>
      <c r="X9" s="387"/>
      <c r="Y9" s="387"/>
      <c r="Z9" s="383"/>
      <c r="AA9" s="383"/>
      <c r="AB9" s="383"/>
      <c r="AC9" s="383"/>
    </row>
    <row r="10" spans="1:25" s="587" customFormat="1" ht="16.5" customHeight="1" thickBot="1">
      <c r="A10" s="93">
        <f t="shared" si="0"/>
        <v>1</v>
      </c>
      <c r="E10" s="391" t="s">
        <v>50</v>
      </c>
      <c r="F10" s="392" t="s">
        <v>139</v>
      </c>
      <c r="G10" s="653"/>
      <c r="H10" s="588" t="s">
        <v>140</v>
      </c>
      <c r="I10" s="589" t="s">
        <v>141</v>
      </c>
      <c r="J10" s="393" t="s">
        <v>142</v>
      </c>
      <c r="K10" s="393" t="s">
        <v>142</v>
      </c>
      <c r="L10" s="427" t="s">
        <v>143</v>
      </c>
      <c r="M10" s="590"/>
      <c r="N10" s="799"/>
      <c r="O10" s="800"/>
      <c r="P10" s="1034" t="s">
        <v>732</v>
      </c>
      <c r="Q10" s="1035"/>
      <c r="R10" s="590"/>
      <c r="S10" s="590"/>
      <c r="T10" s="590"/>
      <c r="U10" s="590"/>
      <c r="V10" s="590"/>
      <c r="W10" s="590"/>
      <c r="X10" s="590"/>
      <c r="Y10" s="590"/>
    </row>
    <row r="11" spans="1:35" s="586" customFormat="1" ht="20.25" customHeight="1" thickBot="1">
      <c r="A11" s="93">
        <f t="shared" si="0"/>
        <v>59</v>
      </c>
      <c r="B11" s="581"/>
      <c r="C11" s="582"/>
      <c r="D11" s="583" t="s">
        <v>880</v>
      </c>
      <c r="E11" s="583"/>
      <c r="F11" s="582"/>
      <c r="G11" s="582"/>
      <c r="H11" s="584"/>
      <c r="I11" s="584"/>
      <c r="J11" s="582"/>
      <c r="K11" s="582"/>
      <c r="L11" s="585">
        <f ca="1">SUM(OFFSET(L13,0,0,A13,1))</f>
        <v>0</v>
      </c>
      <c r="M11" s="582"/>
      <c r="N11" s="582"/>
      <c r="O11" s="582"/>
      <c r="P11" s="582"/>
      <c r="Q11" s="582"/>
      <c r="R11" s="582"/>
      <c r="S11" s="582"/>
      <c r="T11" s="582"/>
      <c r="U11" s="582"/>
      <c r="V11" s="582"/>
      <c r="W11" s="582"/>
      <c r="X11" s="582"/>
      <c r="Y11" s="397"/>
      <c r="Z11" s="397"/>
      <c r="AA11" s="397"/>
      <c r="AB11" s="397"/>
      <c r="AC11" s="582"/>
      <c r="AD11" s="582"/>
      <c r="AE11" s="582"/>
      <c r="AF11" s="582"/>
      <c r="AG11" s="582"/>
      <c r="AH11" s="582"/>
      <c r="AI11" s="582"/>
    </row>
    <row r="12" spans="1:28" s="400" customFormat="1" ht="15" customHeight="1" thickBot="1">
      <c r="A12" s="93">
        <f t="shared" si="0"/>
        <v>58</v>
      </c>
      <c r="B12" s="399"/>
      <c r="E12" s="700" t="s">
        <v>144</v>
      </c>
      <c r="F12" s="964" t="s">
        <v>279</v>
      </c>
      <c r="G12" s="445"/>
      <c r="H12" s="445"/>
      <c r="I12" s="444"/>
      <c r="J12" s="446"/>
      <c r="K12" s="444"/>
      <c r="L12" s="444"/>
      <c r="M12" s="401"/>
      <c r="N12" s="401"/>
      <c r="O12" s="401"/>
      <c r="P12" s="401"/>
      <c r="Q12" s="401"/>
      <c r="R12" s="401"/>
      <c r="S12" s="401"/>
      <c r="T12" s="401"/>
      <c r="U12" s="401"/>
      <c r="V12" s="401"/>
      <c r="W12" s="401"/>
      <c r="X12" s="401"/>
      <c r="Y12" s="402"/>
      <c r="Z12" s="402"/>
      <c r="AA12" s="402"/>
      <c r="AB12" s="402"/>
    </row>
    <row r="13" spans="1:40" s="664" customFormat="1" ht="15" customHeight="1" thickBot="1">
      <c r="A13" s="93">
        <f t="shared" si="0"/>
        <v>57</v>
      </c>
      <c r="B13" s="663">
        <v>1</v>
      </c>
      <c r="E13" s="447"/>
      <c r="F13" s="678" t="s">
        <v>852</v>
      </c>
      <c r="G13" s="679">
        <f>100/(56/3.785*1.6093)</f>
        <v>4.199918331839044</v>
      </c>
      <c r="H13" s="447"/>
      <c r="I13" s="640" t="s">
        <v>146</v>
      </c>
      <c r="J13" s="448">
        <f>LOOKUP(56,get_gasgperkm)/1000*1.6093</f>
        <v>0.16101119642857145</v>
      </c>
      <c r="K13" s="449"/>
      <c r="L13" s="450">
        <f>H13*IF(K13=0,J13,K13)/1000</f>
        <v>0</v>
      </c>
      <c r="M13" s="814"/>
      <c r="N13" s="805"/>
      <c r="O13" s="805"/>
      <c r="P13" s="805"/>
      <c r="Q13" s="805"/>
      <c r="R13" s="805"/>
      <c r="S13" s="805"/>
      <c r="T13" s="805"/>
      <c r="U13" s="805"/>
      <c r="V13" s="805"/>
      <c r="W13" s="805"/>
      <c r="X13" s="805"/>
      <c r="Y13" s="406"/>
      <c r="Z13" s="406"/>
      <c r="AA13" s="406"/>
      <c r="AB13" s="406"/>
      <c r="AC13" s="406"/>
      <c r="AD13" s="406"/>
      <c r="AE13" s="406"/>
      <c r="AF13" s="406"/>
      <c r="AG13" s="406"/>
      <c r="AH13" s="406"/>
      <c r="AI13" s="406"/>
      <c r="AJ13" s="406"/>
      <c r="AK13" s="406"/>
      <c r="AL13" s="406"/>
      <c r="AM13" s="406"/>
      <c r="AN13" s="406"/>
    </row>
    <row r="14" spans="1:40" s="662" customFormat="1" ht="15" customHeight="1" thickBot="1">
      <c r="A14" s="93">
        <f t="shared" si="0"/>
        <v>56</v>
      </c>
      <c r="B14" s="661">
        <v>1</v>
      </c>
      <c r="E14" s="54"/>
      <c r="F14" s="668" t="s">
        <v>145</v>
      </c>
      <c r="G14" s="680">
        <v>8.110187123551254</v>
      </c>
      <c r="H14" s="54"/>
      <c r="I14" s="641" t="s">
        <v>146</v>
      </c>
      <c r="J14" s="404">
        <f>LOOKUP(29,get_gasgperkm)/1000*1.6093</f>
        <v>0.31091817241379316</v>
      </c>
      <c r="K14" s="57"/>
      <c r="L14" s="429">
        <f>H14*IF(K14=0,J14,K14)/1000</f>
        <v>0</v>
      </c>
      <c r="M14" s="814"/>
      <c r="N14" s="805"/>
      <c r="O14" s="805"/>
      <c r="P14" s="805"/>
      <c r="Q14" s="805"/>
      <c r="R14" s="805"/>
      <c r="S14" s="805"/>
      <c r="T14" s="805"/>
      <c r="U14" s="805"/>
      <c r="V14" s="805"/>
      <c r="W14" s="805"/>
      <c r="X14" s="805"/>
      <c r="Y14" s="406"/>
      <c r="Z14" s="406"/>
      <c r="AA14" s="406"/>
      <c r="AB14" s="406"/>
      <c r="AC14" s="406"/>
      <c r="AD14" s="406"/>
      <c r="AE14" s="406"/>
      <c r="AF14" s="406"/>
      <c r="AG14" s="406"/>
      <c r="AH14" s="406"/>
      <c r="AI14" s="406"/>
      <c r="AJ14" s="406"/>
      <c r="AK14" s="406"/>
      <c r="AL14" s="406"/>
      <c r="AM14" s="406"/>
      <c r="AN14" s="406"/>
    </row>
    <row r="15" spans="1:40" s="403" customFormat="1" ht="15" customHeight="1" thickBot="1">
      <c r="A15" s="93">
        <f t="shared" si="0"/>
        <v>55</v>
      </c>
      <c r="B15" s="399">
        <v>1</v>
      </c>
      <c r="E15" s="63"/>
      <c r="F15" s="677" t="s">
        <v>874</v>
      </c>
      <c r="G15" s="681">
        <v>10.225888112303757</v>
      </c>
      <c r="H15" s="63"/>
      <c r="I15" s="643" t="s">
        <v>146</v>
      </c>
      <c r="J15" s="408">
        <f>LOOKUP(23,get_gasgperkm)/1000*1.6093</f>
        <v>0.3920272608695653</v>
      </c>
      <c r="K15" s="66"/>
      <c r="L15" s="433">
        <f>H15*IF(K15=0,J15,K15)/1000</f>
        <v>0</v>
      </c>
      <c r="M15" s="814"/>
      <c r="N15" s="805"/>
      <c r="O15" s="805"/>
      <c r="P15" s="805"/>
      <c r="Q15" s="805"/>
      <c r="R15" s="805"/>
      <c r="S15" s="805"/>
      <c r="T15" s="805"/>
      <c r="U15" s="805"/>
      <c r="V15" s="805"/>
      <c r="W15" s="805"/>
      <c r="X15" s="805"/>
      <c r="Y15" s="406"/>
      <c r="Z15" s="406"/>
      <c r="AA15" s="406"/>
      <c r="AB15" s="406"/>
      <c r="AC15" s="406"/>
      <c r="AD15" s="406"/>
      <c r="AE15" s="406"/>
      <c r="AF15" s="406"/>
      <c r="AG15" s="406"/>
      <c r="AH15" s="406"/>
      <c r="AI15" s="406"/>
      <c r="AJ15" s="406"/>
      <c r="AK15" s="406"/>
      <c r="AL15" s="406"/>
      <c r="AM15" s="406"/>
      <c r="AN15" s="406"/>
    </row>
    <row r="16" spans="1:40" s="403" customFormat="1" ht="15" customHeight="1" thickBot="1">
      <c r="A16" s="93">
        <f t="shared" si="0"/>
        <v>54</v>
      </c>
      <c r="B16" s="399">
        <v>1</v>
      </c>
      <c r="E16" s="54"/>
      <c r="F16" s="668" t="s">
        <v>148</v>
      </c>
      <c r="G16" s="680">
        <v>12.378706662262443</v>
      </c>
      <c r="H16" s="54"/>
      <c r="I16" s="641" t="s">
        <v>146</v>
      </c>
      <c r="J16" s="404">
        <f>LOOKUP(19,get_gasgperkm)/1000*1.6093</f>
        <v>0.47455931578947375</v>
      </c>
      <c r="K16" s="57"/>
      <c r="L16" s="429">
        <f aca="true" t="shared" si="1" ref="L16:L40">H16*IF(K16=0,J16,K16)/1000</f>
        <v>0</v>
      </c>
      <c r="M16" s="814"/>
      <c r="N16" s="805"/>
      <c r="O16" s="805"/>
      <c r="P16" s="805"/>
      <c r="Q16" s="805"/>
      <c r="R16" s="805"/>
      <c r="S16" s="805"/>
      <c r="T16" s="805"/>
      <c r="U16" s="805"/>
      <c r="V16" s="805"/>
      <c r="W16" s="805"/>
      <c r="X16" s="805"/>
      <c r="Y16" s="406"/>
      <c r="Z16" s="406"/>
      <c r="AA16" s="406"/>
      <c r="AB16" s="406"/>
      <c r="AC16" s="406"/>
      <c r="AD16" s="406"/>
      <c r="AE16" s="406"/>
      <c r="AF16" s="406"/>
      <c r="AG16" s="406"/>
      <c r="AH16" s="406"/>
      <c r="AI16" s="406"/>
      <c r="AJ16" s="406"/>
      <c r="AK16" s="406"/>
      <c r="AL16" s="406"/>
      <c r="AM16" s="406"/>
      <c r="AN16" s="406"/>
    </row>
    <row r="17" spans="1:40" s="403" customFormat="1" ht="15" customHeight="1" thickBot="1">
      <c r="A17" s="93">
        <f t="shared" si="0"/>
        <v>53</v>
      </c>
      <c r="B17" s="399"/>
      <c r="E17" s="71"/>
      <c r="F17" s="668" t="s">
        <v>118</v>
      </c>
      <c r="G17" s="680"/>
      <c r="H17" s="71"/>
      <c r="I17" s="642" t="s">
        <v>146</v>
      </c>
      <c r="J17" s="430">
        <v>0.28645539999999997</v>
      </c>
      <c r="K17" s="75"/>
      <c r="L17" s="431">
        <f t="shared" si="1"/>
        <v>0</v>
      </c>
      <c r="M17" s="814"/>
      <c r="N17" s="805"/>
      <c r="O17" s="805"/>
      <c r="P17" s="805"/>
      <c r="Q17" s="805"/>
      <c r="R17" s="805"/>
      <c r="S17" s="805"/>
      <c r="T17" s="805"/>
      <c r="U17" s="805"/>
      <c r="V17" s="805"/>
      <c r="W17" s="805"/>
      <c r="X17" s="805"/>
      <c r="Y17" s="406"/>
      <c r="Z17" s="406"/>
      <c r="AA17" s="406"/>
      <c r="AB17" s="406"/>
      <c r="AC17" s="406"/>
      <c r="AD17" s="406"/>
      <c r="AE17" s="406"/>
      <c r="AF17" s="406"/>
      <c r="AG17" s="406"/>
      <c r="AH17" s="406"/>
      <c r="AI17" s="406"/>
      <c r="AJ17" s="406"/>
      <c r="AK17" s="406"/>
      <c r="AL17" s="406"/>
      <c r="AM17" s="406"/>
      <c r="AN17" s="406"/>
    </row>
    <row r="18" spans="1:40" s="662" customFormat="1" ht="15" customHeight="1" thickBot="1">
      <c r="A18" s="93">
        <f t="shared" si="0"/>
        <v>52</v>
      </c>
      <c r="B18" s="661">
        <v>1</v>
      </c>
      <c r="E18" s="54"/>
      <c r="F18" s="668" t="s">
        <v>875</v>
      </c>
      <c r="G18" s="681">
        <v>9.799809440957768</v>
      </c>
      <c r="H18" s="54"/>
      <c r="I18" s="641" t="s">
        <v>146</v>
      </c>
      <c r="J18" s="404">
        <f>LOOKUP(24,get_dieselgperkm)/1000*1.6093</f>
        <v>0.43303096812500014</v>
      </c>
      <c r="K18" s="57"/>
      <c r="L18" s="429">
        <f t="shared" si="1"/>
        <v>0</v>
      </c>
      <c r="M18" s="814"/>
      <c r="N18" s="805"/>
      <c r="O18" s="805"/>
      <c r="P18" s="805"/>
      <c r="Q18" s="805"/>
      <c r="R18" s="805"/>
      <c r="S18" s="805"/>
      <c r="T18" s="805"/>
      <c r="U18" s="805"/>
      <c r="V18" s="805"/>
      <c r="W18" s="805"/>
      <c r="X18" s="805"/>
      <c r="Y18" s="406"/>
      <c r="Z18" s="406"/>
      <c r="AA18" s="406"/>
      <c r="AB18" s="406"/>
      <c r="AC18" s="406"/>
      <c r="AD18" s="406"/>
      <c r="AE18" s="406"/>
      <c r="AF18" s="406"/>
      <c r="AG18" s="406"/>
      <c r="AH18" s="406"/>
      <c r="AI18" s="406"/>
      <c r="AJ18" s="406"/>
      <c r="AK18" s="406"/>
      <c r="AL18" s="406"/>
      <c r="AM18" s="406"/>
      <c r="AN18" s="406"/>
    </row>
    <row r="19" spans="1:40" s="662" customFormat="1" ht="15" customHeight="1" thickBot="1">
      <c r="A19" s="93">
        <f t="shared" si="0"/>
        <v>51</v>
      </c>
      <c r="B19" s="661"/>
      <c r="E19" s="54"/>
      <c r="F19" s="668" t="s">
        <v>876</v>
      </c>
      <c r="G19" s="681">
        <v>16.799673327356174</v>
      </c>
      <c r="H19" s="54"/>
      <c r="I19" s="641" t="s">
        <v>146</v>
      </c>
      <c r="J19" s="408">
        <f>LOOKUP(14,get_gasgperkm)/1000*1.6093</f>
        <v>0.6440447857142858</v>
      </c>
      <c r="K19" s="57"/>
      <c r="L19" s="429">
        <f t="shared" si="1"/>
        <v>0</v>
      </c>
      <c r="M19" s="814"/>
      <c r="N19" s="805"/>
      <c r="O19" s="805"/>
      <c r="P19" s="805"/>
      <c r="Q19" s="805"/>
      <c r="R19" s="805"/>
      <c r="S19" s="805"/>
      <c r="T19" s="805"/>
      <c r="U19" s="805"/>
      <c r="V19" s="805"/>
      <c r="W19" s="805"/>
      <c r="X19" s="805"/>
      <c r="Y19" s="406"/>
      <c r="Z19" s="406"/>
      <c r="AA19" s="406"/>
      <c r="AB19" s="406"/>
      <c r="AC19" s="406"/>
      <c r="AD19" s="406"/>
      <c r="AE19" s="406"/>
      <c r="AF19" s="406"/>
      <c r="AG19" s="406"/>
      <c r="AH19" s="406"/>
      <c r="AI19" s="406"/>
      <c r="AJ19" s="406"/>
      <c r="AK19" s="406"/>
      <c r="AL19" s="406"/>
      <c r="AM19" s="406"/>
      <c r="AN19" s="406"/>
    </row>
    <row r="20" spans="1:40" s="662" customFormat="1" ht="15" customHeight="1" thickBot="1">
      <c r="A20" s="93">
        <f t="shared" si="0"/>
        <v>50</v>
      </c>
      <c r="B20" s="661"/>
      <c r="E20" s="54"/>
      <c r="F20" s="668" t="s">
        <v>877</v>
      </c>
      <c r="G20" s="681">
        <v>39.19923776383107</v>
      </c>
      <c r="H20" s="54"/>
      <c r="I20" s="641" t="s">
        <v>146</v>
      </c>
      <c r="J20" s="408">
        <f>LOOKUP(6,get_gasgperkm)/1000*1.6093</f>
        <v>1.502771166666667</v>
      </c>
      <c r="K20" s="57"/>
      <c r="L20" s="429">
        <f t="shared" si="1"/>
        <v>0</v>
      </c>
      <c r="M20" s="814"/>
      <c r="N20" s="805"/>
      <c r="O20" s="805"/>
      <c r="P20" s="805"/>
      <c r="Q20" s="805"/>
      <c r="R20" s="805"/>
      <c r="S20" s="805"/>
      <c r="T20" s="805"/>
      <c r="U20" s="805"/>
      <c r="V20" s="805"/>
      <c r="W20" s="805"/>
      <c r="X20" s="805"/>
      <c r="Y20" s="406"/>
      <c r="Z20" s="406"/>
      <c r="AA20" s="406"/>
      <c r="AB20" s="406"/>
      <c r="AC20" s="406"/>
      <c r="AD20" s="406"/>
      <c r="AE20" s="406"/>
      <c r="AF20" s="406"/>
      <c r="AG20" s="406"/>
      <c r="AH20" s="406"/>
      <c r="AI20" s="406"/>
      <c r="AJ20" s="406"/>
      <c r="AK20" s="406"/>
      <c r="AL20" s="406"/>
      <c r="AM20" s="406"/>
      <c r="AN20" s="406"/>
    </row>
    <row r="21" spans="1:40" s="662" customFormat="1" ht="15" customHeight="1" thickBot="1">
      <c r="A21" s="93">
        <f t="shared" si="0"/>
        <v>49</v>
      </c>
      <c r="B21" s="661"/>
      <c r="E21" s="54"/>
      <c r="F21" s="668" t="s">
        <v>850</v>
      </c>
      <c r="G21" s="681">
        <v>15.679695105532426</v>
      </c>
      <c r="H21" s="54"/>
      <c r="I21" s="641" t="s">
        <v>146</v>
      </c>
      <c r="J21" s="408">
        <f>LOOKUP(15,get_dieselgperkm)/1000*1.6093</f>
        <v>0.692849549</v>
      </c>
      <c r="K21" s="57"/>
      <c r="L21" s="429">
        <f t="shared" si="1"/>
        <v>0</v>
      </c>
      <c r="M21" s="814"/>
      <c r="N21" s="805"/>
      <c r="O21" s="805"/>
      <c r="P21" s="805"/>
      <c r="Q21" s="805"/>
      <c r="R21" s="805"/>
      <c r="S21" s="805"/>
      <c r="T21" s="805"/>
      <c r="U21" s="805"/>
      <c r="V21" s="805"/>
      <c r="W21" s="805"/>
      <c r="X21" s="805"/>
      <c r="Y21" s="406"/>
      <c r="Z21" s="406"/>
      <c r="AA21" s="406"/>
      <c r="AB21" s="406"/>
      <c r="AC21" s="406"/>
      <c r="AD21" s="406"/>
      <c r="AE21" s="406"/>
      <c r="AF21" s="406"/>
      <c r="AG21" s="406"/>
      <c r="AH21" s="406"/>
      <c r="AI21" s="406"/>
      <c r="AJ21" s="406"/>
      <c r="AK21" s="406"/>
      <c r="AL21" s="406"/>
      <c r="AM21" s="406"/>
      <c r="AN21" s="406"/>
    </row>
    <row r="22" spans="1:40" s="662" customFormat="1" ht="15" customHeight="1" thickBot="1">
      <c r="A22" s="93">
        <f t="shared" si="0"/>
        <v>48</v>
      </c>
      <c r="B22" s="661"/>
      <c r="E22" s="54"/>
      <c r="F22" s="668" t="s">
        <v>851</v>
      </c>
      <c r="G22" s="681">
        <v>33.59934665471235</v>
      </c>
      <c r="H22" s="54"/>
      <c r="I22" s="641" t="s">
        <v>146</v>
      </c>
      <c r="J22" s="408">
        <f>LOOKUP(7,get_dieselgperkm)/1000*1.6093</f>
        <v>1.4846776050000001</v>
      </c>
      <c r="K22" s="57"/>
      <c r="L22" s="429">
        <f t="shared" si="1"/>
        <v>0</v>
      </c>
      <c r="M22" s="814"/>
      <c r="N22" s="805"/>
      <c r="O22" s="805"/>
      <c r="P22" s="805"/>
      <c r="Q22" s="805"/>
      <c r="R22" s="805"/>
      <c r="S22" s="805"/>
      <c r="T22" s="805"/>
      <c r="U22" s="805"/>
      <c r="V22" s="805"/>
      <c r="W22" s="805"/>
      <c r="X22" s="805"/>
      <c r="Y22" s="406"/>
      <c r="Z22" s="406"/>
      <c r="AA22" s="406"/>
      <c r="AB22" s="406"/>
      <c r="AC22" s="406"/>
      <c r="AD22" s="406"/>
      <c r="AE22" s="406"/>
      <c r="AF22" s="406"/>
      <c r="AG22" s="406"/>
      <c r="AH22" s="406"/>
      <c r="AI22" s="406"/>
      <c r="AJ22" s="406"/>
      <c r="AK22" s="406"/>
      <c r="AL22" s="406"/>
      <c r="AM22" s="406"/>
      <c r="AN22" s="406"/>
    </row>
    <row r="23" spans="1:40" s="662" customFormat="1" ht="15" customHeight="1" thickBot="1">
      <c r="A23" s="93">
        <f t="shared" si="0"/>
        <v>47</v>
      </c>
      <c r="B23" s="661"/>
      <c r="E23" s="71"/>
      <c r="F23" s="682" t="s">
        <v>878</v>
      </c>
      <c r="G23" s="688">
        <v>3.9199237763831065</v>
      </c>
      <c r="H23" s="71"/>
      <c r="I23" s="642" t="s">
        <v>146</v>
      </c>
      <c r="J23" s="686">
        <f>LOOKUP(60,get_gasgperkm)/1000*1.6093</f>
        <v>0.15027711666666665</v>
      </c>
      <c r="K23" s="75"/>
      <c r="L23" s="431">
        <f t="shared" si="1"/>
        <v>0</v>
      </c>
      <c r="M23" s="814"/>
      <c r="N23" s="805"/>
      <c r="O23" s="805"/>
      <c r="P23" s="805"/>
      <c r="Q23" s="805"/>
      <c r="R23" s="805"/>
      <c r="S23" s="805"/>
      <c r="T23" s="805"/>
      <c r="U23" s="805"/>
      <c r="V23" s="805"/>
      <c r="W23" s="805"/>
      <c r="X23" s="805"/>
      <c r="Y23" s="406"/>
      <c r="Z23" s="406"/>
      <c r="AA23" s="406"/>
      <c r="AB23" s="406"/>
      <c r="AC23" s="406"/>
      <c r="AD23" s="406"/>
      <c r="AE23" s="406"/>
      <c r="AF23" s="406"/>
      <c r="AG23" s="406"/>
      <c r="AH23" s="406"/>
      <c r="AI23" s="406"/>
      <c r="AJ23" s="406"/>
      <c r="AK23" s="406"/>
      <c r="AL23" s="406"/>
      <c r="AM23" s="406"/>
      <c r="AN23" s="406"/>
    </row>
    <row r="24" spans="1:24" s="406" customFormat="1" ht="15" customHeight="1" thickBot="1">
      <c r="A24" s="93">
        <f t="shared" si="0"/>
        <v>46</v>
      </c>
      <c r="B24" s="415"/>
      <c r="E24" s="54"/>
      <c r="F24" s="812" t="s">
        <v>738</v>
      </c>
      <c r="G24" s="813"/>
      <c r="H24" s="54"/>
      <c r="I24" s="641"/>
      <c r="J24" s="404"/>
      <c r="K24" s="57"/>
      <c r="L24" s="431">
        <f t="shared" si="1"/>
        <v>0</v>
      </c>
      <c r="M24" s="814"/>
      <c r="N24" s="805" t="s">
        <v>739</v>
      </c>
      <c r="O24" s="805"/>
      <c r="P24" s="805"/>
      <c r="Q24" s="805"/>
      <c r="R24" s="805"/>
      <c r="S24" s="805"/>
      <c r="T24" s="805"/>
      <c r="U24" s="805"/>
      <c r="V24" s="805"/>
      <c r="W24" s="805"/>
      <c r="X24" s="805"/>
    </row>
    <row r="25" spans="1:24" s="406" customFormat="1" ht="15" customHeight="1" thickBot="1">
      <c r="A25" s="93">
        <f t="shared" si="0"/>
        <v>45</v>
      </c>
      <c r="B25" s="415"/>
      <c r="E25" s="806"/>
      <c r="F25" s="810"/>
      <c r="G25" s="811"/>
      <c r="H25" s="806"/>
      <c r="I25" s="807"/>
      <c r="J25" s="808"/>
      <c r="K25" s="809"/>
      <c r="L25" s="431">
        <f t="shared" si="1"/>
        <v>0</v>
      </c>
      <c r="M25" s="814"/>
      <c r="N25" s="805" t="s">
        <v>740</v>
      </c>
      <c r="O25" s="805"/>
      <c r="P25" s="805"/>
      <c r="Q25" s="805"/>
      <c r="R25" s="805"/>
      <c r="S25" s="805"/>
      <c r="T25" s="805"/>
      <c r="U25" s="805"/>
      <c r="V25" s="805"/>
      <c r="W25" s="805"/>
      <c r="X25" s="805"/>
    </row>
    <row r="26" spans="1:28" s="403" customFormat="1" ht="15" customHeight="1" thickBot="1" thickTop="1">
      <c r="A26" s="93">
        <f t="shared" si="0"/>
        <v>44</v>
      </c>
      <c r="B26" s="399"/>
      <c r="E26" s="689"/>
      <c r="F26" s="690" t="s">
        <v>849</v>
      </c>
      <c r="G26" s="691">
        <f>100/(56/3.785*1.6093)</f>
        <v>4.199918331839044</v>
      </c>
      <c r="H26" s="689"/>
      <c r="I26" s="692" t="s">
        <v>149</v>
      </c>
      <c r="J26" s="693">
        <f>J13/1.8</f>
        <v>0.08945066468253969</v>
      </c>
      <c r="K26" s="694"/>
      <c r="L26" s="450">
        <f>H26*IF(K26=0,J26,K26)/1000</f>
        <v>0</v>
      </c>
      <c r="M26" s="405"/>
      <c r="N26" s="405"/>
      <c r="O26" s="405"/>
      <c r="P26" s="405"/>
      <c r="Q26" s="405"/>
      <c r="R26" s="405"/>
      <c r="S26" s="405"/>
      <c r="T26" s="405"/>
      <c r="U26" s="405"/>
      <c r="V26" s="405"/>
      <c r="W26" s="405"/>
      <c r="X26" s="405"/>
      <c r="Y26" s="406"/>
      <c r="Z26" s="406"/>
      <c r="AA26" s="406"/>
      <c r="AB26" s="406"/>
    </row>
    <row r="27" spans="1:28" s="403" customFormat="1" ht="15" customHeight="1" thickBot="1">
      <c r="A27" s="93">
        <f t="shared" si="0"/>
        <v>43</v>
      </c>
      <c r="B27" s="399">
        <v>1</v>
      </c>
      <c r="E27" s="71"/>
      <c r="F27" s="668" t="s">
        <v>145</v>
      </c>
      <c r="G27" s="680">
        <f>100/(29/3.785*1.6093)</f>
        <v>8.110187123551254</v>
      </c>
      <c r="H27" s="71"/>
      <c r="I27" s="642" t="s">
        <v>149</v>
      </c>
      <c r="J27" s="430">
        <f>J14/1.8</f>
        <v>0.17273231800766287</v>
      </c>
      <c r="K27" s="75"/>
      <c r="L27" s="431">
        <f t="shared" si="1"/>
        <v>0</v>
      </c>
      <c r="M27" s="405"/>
      <c r="N27" s="405"/>
      <c r="O27" s="405"/>
      <c r="P27" s="405"/>
      <c r="Q27" s="405"/>
      <c r="R27" s="405"/>
      <c r="S27" s="405"/>
      <c r="T27" s="405"/>
      <c r="U27" s="405"/>
      <c r="V27" s="405"/>
      <c r="W27" s="405"/>
      <c r="X27" s="405"/>
      <c r="Y27" s="406"/>
      <c r="Z27" s="406"/>
      <c r="AA27" s="406"/>
      <c r="AB27" s="406"/>
    </row>
    <row r="28" spans="1:28" s="403" customFormat="1" ht="15" customHeight="1" thickBot="1">
      <c r="A28" s="93">
        <f t="shared" si="0"/>
        <v>42</v>
      </c>
      <c r="B28" s="399">
        <v>1</v>
      </c>
      <c r="E28" s="71"/>
      <c r="F28" s="668" t="s">
        <v>147</v>
      </c>
      <c r="G28" s="681">
        <f>100/(23/3.785*1.6093)</f>
        <v>10.225888112303757</v>
      </c>
      <c r="H28" s="71"/>
      <c r="I28" s="642" t="s">
        <v>149</v>
      </c>
      <c r="J28" s="430">
        <f>J15/1.8</f>
        <v>0.21779292270531406</v>
      </c>
      <c r="K28" s="75"/>
      <c r="L28" s="431">
        <f t="shared" si="1"/>
        <v>0</v>
      </c>
      <c r="M28" s="405"/>
      <c r="N28" s="405"/>
      <c r="O28" s="405"/>
      <c r="P28" s="405"/>
      <c r="Q28" s="405"/>
      <c r="R28" s="405"/>
      <c r="S28" s="405"/>
      <c r="T28" s="405"/>
      <c r="U28" s="405"/>
      <c r="V28" s="405"/>
      <c r="W28" s="405"/>
      <c r="X28" s="405"/>
      <c r="Y28" s="406"/>
      <c r="Z28" s="406"/>
      <c r="AA28" s="406"/>
      <c r="AB28" s="406"/>
    </row>
    <row r="29" spans="1:28" s="403" customFormat="1" ht="15" customHeight="1" thickBot="1">
      <c r="A29" s="93">
        <f t="shared" si="0"/>
        <v>41</v>
      </c>
      <c r="B29" s="399">
        <v>1</v>
      </c>
      <c r="E29" s="71"/>
      <c r="F29" s="668" t="s">
        <v>148</v>
      </c>
      <c r="G29" s="680">
        <f>100/(19/3.785*1.6093)</f>
        <v>12.378706662262443</v>
      </c>
      <c r="H29" s="71"/>
      <c r="I29" s="642" t="s">
        <v>149</v>
      </c>
      <c r="J29" s="430">
        <f>J16/1.8</f>
        <v>0.2636440643274854</v>
      </c>
      <c r="K29" s="75"/>
      <c r="L29" s="431">
        <f>H29*IF(K29=0,J29,K29)/1000</f>
        <v>0</v>
      </c>
      <c r="M29" s="405"/>
      <c r="N29" s="405"/>
      <c r="O29" s="405"/>
      <c r="P29" s="405"/>
      <c r="Q29" s="405"/>
      <c r="R29" s="405"/>
      <c r="S29" s="405"/>
      <c r="T29" s="405"/>
      <c r="U29" s="405"/>
      <c r="V29" s="405"/>
      <c r="W29" s="405"/>
      <c r="X29" s="405"/>
      <c r="Y29" s="406"/>
      <c r="Z29" s="406"/>
      <c r="AA29" s="406"/>
      <c r="AB29" s="406"/>
    </row>
    <row r="30" spans="1:28" s="403" customFormat="1" ht="15" customHeight="1" thickBot="1">
      <c r="A30" s="93">
        <f t="shared" si="0"/>
        <v>40</v>
      </c>
      <c r="B30" s="399"/>
      <c r="E30" s="277"/>
      <c r="F30" s="668" t="s">
        <v>118</v>
      </c>
      <c r="G30" s="672"/>
      <c r="H30" s="54"/>
      <c r="I30" s="641" t="s">
        <v>149</v>
      </c>
      <c r="J30" s="404">
        <f>J17/1.8</f>
        <v>0.15914188888888886</v>
      </c>
      <c r="K30" s="57"/>
      <c r="L30" s="429">
        <f>H30*IF(K30=0,J30,K30)/1000</f>
        <v>0</v>
      </c>
      <c r="M30" s="405"/>
      <c r="N30" s="405"/>
      <c r="O30" s="405"/>
      <c r="P30" s="405"/>
      <c r="Q30" s="405"/>
      <c r="R30" s="405"/>
      <c r="S30" s="405"/>
      <c r="T30" s="405"/>
      <c r="U30" s="405"/>
      <c r="V30" s="405"/>
      <c r="W30" s="405"/>
      <c r="X30" s="405"/>
      <c r="Y30" s="406"/>
      <c r="Z30" s="406"/>
      <c r="AA30" s="406"/>
      <c r="AB30" s="406"/>
    </row>
    <row r="31" spans="1:28" s="403" customFormat="1" ht="15" customHeight="1" thickBot="1">
      <c r="A31" s="93">
        <f t="shared" si="0"/>
        <v>39</v>
      </c>
      <c r="B31" s="399"/>
      <c r="E31" s="277"/>
      <c r="F31" s="668" t="s">
        <v>875</v>
      </c>
      <c r="G31" s="680">
        <v>9.799809440957768</v>
      </c>
      <c r="H31" s="687"/>
      <c r="I31" s="641" t="s">
        <v>149</v>
      </c>
      <c r="J31" s="404">
        <f aca="true" t="shared" si="2" ref="J31:J36">J18/1.8</f>
        <v>0.2405727600694445</v>
      </c>
      <c r="K31" s="57"/>
      <c r="L31" s="429">
        <f aca="true" t="shared" si="3" ref="L31:L36">H31*IF(K31=0,J31,K31)/1000</f>
        <v>0</v>
      </c>
      <c r="M31" s="405"/>
      <c r="N31" s="405"/>
      <c r="O31" s="405"/>
      <c r="P31" s="405"/>
      <c r="Q31" s="405"/>
      <c r="R31" s="405"/>
      <c r="S31" s="405"/>
      <c r="T31" s="405"/>
      <c r="U31" s="405"/>
      <c r="V31" s="405"/>
      <c r="W31" s="405"/>
      <c r="X31" s="405"/>
      <c r="Y31" s="406"/>
      <c r="Z31" s="406"/>
      <c r="AA31" s="406"/>
      <c r="AB31" s="406"/>
    </row>
    <row r="32" spans="1:28" s="403" customFormat="1" ht="15" customHeight="1" thickBot="1">
      <c r="A32" s="93">
        <f t="shared" si="0"/>
        <v>38</v>
      </c>
      <c r="B32" s="399"/>
      <c r="E32" s="277"/>
      <c r="F32" s="668" t="s">
        <v>876</v>
      </c>
      <c r="G32" s="680">
        <v>16.799673327356174</v>
      </c>
      <c r="H32" s="687"/>
      <c r="I32" s="641" t="s">
        <v>149</v>
      </c>
      <c r="J32" s="404">
        <f t="shared" si="2"/>
        <v>0.35780265873015876</v>
      </c>
      <c r="K32" s="57"/>
      <c r="L32" s="429">
        <f t="shared" si="3"/>
        <v>0</v>
      </c>
      <c r="M32" s="405"/>
      <c r="N32" s="405"/>
      <c r="O32" s="405"/>
      <c r="P32" s="405"/>
      <c r="Q32" s="405"/>
      <c r="R32" s="405"/>
      <c r="S32" s="405"/>
      <c r="T32" s="405"/>
      <c r="U32" s="405"/>
      <c r="V32" s="405"/>
      <c r="W32" s="405"/>
      <c r="X32" s="405"/>
      <c r="Y32" s="406"/>
      <c r="Z32" s="406"/>
      <c r="AA32" s="406"/>
      <c r="AB32" s="406"/>
    </row>
    <row r="33" spans="1:28" s="403" customFormat="1" ht="15" customHeight="1" thickBot="1">
      <c r="A33" s="93">
        <f t="shared" si="0"/>
        <v>37</v>
      </c>
      <c r="B33" s="399"/>
      <c r="E33" s="277"/>
      <c r="F33" s="668" t="s">
        <v>877</v>
      </c>
      <c r="G33" s="680">
        <v>39.19923776383107</v>
      </c>
      <c r="H33" s="687"/>
      <c r="I33" s="641" t="s">
        <v>149</v>
      </c>
      <c r="J33" s="404">
        <f t="shared" si="2"/>
        <v>0.8348728703703705</v>
      </c>
      <c r="K33" s="57"/>
      <c r="L33" s="429">
        <f t="shared" si="3"/>
        <v>0</v>
      </c>
      <c r="M33" s="405"/>
      <c r="N33" s="405"/>
      <c r="O33" s="405"/>
      <c r="P33" s="405"/>
      <c r="Q33" s="405"/>
      <c r="R33" s="405"/>
      <c r="S33" s="405"/>
      <c r="T33" s="405"/>
      <c r="U33" s="405"/>
      <c r="V33" s="405"/>
      <c r="W33" s="405"/>
      <c r="X33" s="405"/>
      <c r="Y33" s="406"/>
      <c r="Z33" s="406"/>
      <c r="AA33" s="406"/>
      <c r="AB33" s="406"/>
    </row>
    <row r="34" spans="1:28" s="403" customFormat="1" ht="15" customHeight="1" thickBot="1">
      <c r="A34" s="93">
        <f t="shared" si="0"/>
        <v>36</v>
      </c>
      <c r="B34" s="399"/>
      <c r="E34" s="277"/>
      <c r="F34" s="668" t="s">
        <v>850</v>
      </c>
      <c r="G34" s="680">
        <v>15.679695105532426</v>
      </c>
      <c r="H34" s="687"/>
      <c r="I34" s="641" t="s">
        <v>149</v>
      </c>
      <c r="J34" s="404">
        <f t="shared" si="2"/>
        <v>0.38491641611111105</v>
      </c>
      <c r="K34" s="57"/>
      <c r="L34" s="429">
        <f t="shared" si="3"/>
        <v>0</v>
      </c>
      <c r="M34" s="405"/>
      <c r="N34" s="405"/>
      <c r="O34" s="405"/>
      <c r="P34" s="405"/>
      <c r="Q34" s="405"/>
      <c r="R34" s="405"/>
      <c r="S34" s="405"/>
      <c r="T34" s="405"/>
      <c r="U34" s="405"/>
      <c r="V34" s="405"/>
      <c r="W34" s="405"/>
      <c r="X34" s="405"/>
      <c r="Y34" s="406"/>
      <c r="Z34" s="406"/>
      <c r="AA34" s="406"/>
      <c r="AB34" s="406"/>
    </row>
    <row r="35" spans="1:28" s="403" customFormat="1" ht="15" customHeight="1" thickBot="1">
      <c r="A35" s="93">
        <f t="shared" si="0"/>
        <v>35</v>
      </c>
      <c r="B35" s="399"/>
      <c r="E35" s="277"/>
      <c r="F35" s="668" t="s">
        <v>851</v>
      </c>
      <c r="G35" s="680">
        <v>33.59934665471235</v>
      </c>
      <c r="H35" s="687"/>
      <c r="I35" s="641" t="s">
        <v>149</v>
      </c>
      <c r="J35" s="404">
        <f t="shared" si="2"/>
        <v>0.8248208916666667</v>
      </c>
      <c r="K35" s="57"/>
      <c r="L35" s="429">
        <f t="shared" si="3"/>
        <v>0</v>
      </c>
      <c r="M35" s="405"/>
      <c r="N35" s="405"/>
      <c r="O35" s="405"/>
      <c r="P35" s="405"/>
      <c r="Q35" s="405"/>
      <c r="R35" s="405"/>
      <c r="S35" s="405"/>
      <c r="T35" s="405"/>
      <c r="U35" s="405"/>
      <c r="V35" s="405"/>
      <c r="W35" s="405"/>
      <c r="X35" s="405"/>
      <c r="Y35" s="406"/>
      <c r="Z35" s="406"/>
      <c r="AA35" s="406"/>
      <c r="AB35" s="406"/>
    </row>
    <row r="36" spans="1:28" s="403" customFormat="1" ht="15" customHeight="1" thickBot="1">
      <c r="A36" s="93">
        <f t="shared" si="0"/>
        <v>34</v>
      </c>
      <c r="B36" s="399"/>
      <c r="E36" s="277"/>
      <c r="F36" s="668" t="s">
        <v>878</v>
      </c>
      <c r="G36" s="680">
        <v>3.9199237763831065</v>
      </c>
      <c r="H36" s="687"/>
      <c r="I36" s="641" t="s">
        <v>149</v>
      </c>
      <c r="J36" s="404">
        <f t="shared" si="2"/>
        <v>0.08348728703703703</v>
      </c>
      <c r="K36" s="57"/>
      <c r="L36" s="429">
        <f t="shared" si="3"/>
        <v>0</v>
      </c>
      <c r="M36" s="405"/>
      <c r="N36" s="405"/>
      <c r="O36" s="405"/>
      <c r="P36" s="405"/>
      <c r="Q36" s="405"/>
      <c r="R36" s="405"/>
      <c r="S36" s="405"/>
      <c r="T36" s="405"/>
      <c r="U36" s="405"/>
      <c r="V36" s="405"/>
      <c r="W36" s="405"/>
      <c r="X36" s="405"/>
      <c r="Y36" s="406"/>
      <c r="Z36" s="406"/>
      <c r="AA36" s="406"/>
      <c r="AB36" s="406"/>
    </row>
    <row r="37" spans="1:28" s="403" customFormat="1" ht="15" customHeight="1" thickBot="1">
      <c r="A37" s="93">
        <f t="shared" si="0"/>
        <v>33</v>
      </c>
      <c r="B37" s="399">
        <v>1</v>
      </c>
      <c r="E37" s="54"/>
      <c r="F37" s="668" t="s">
        <v>150</v>
      </c>
      <c r="G37" s="672"/>
      <c r="H37" s="54"/>
      <c r="I37" s="641" t="s">
        <v>149</v>
      </c>
      <c r="J37" s="404">
        <v>0.0781</v>
      </c>
      <c r="K37" s="57"/>
      <c r="L37" s="429">
        <f t="shared" si="1"/>
        <v>0</v>
      </c>
      <c r="M37" s="405"/>
      <c r="N37" s="405"/>
      <c r="O37" s="405"/>
      <c r="P37" s="405"/>
      <c r="Q37" s="405"/>
      <c r="R37" s="405"/>
      <c r="S37" s="405"/>
      <c r="T37" s="405"/>
      <c r="U37" s="405"/>
      <c r="V37" s="405"/>
      <c r="W37" s="405"/>
      <c r="X37" s="405"/>
      <c r="Y37" s="406"/>
      <c r="Z37" s="406"/>
      <c r="AA37" s="406"/>
      <c r="AB37" s="406"/>
    </row>
    <row r="38" spans="1:28" s="403" customFormat="1" ht="15" customHeight="1" thickBot="1">
      <c r="A38" s="93">
        <f t="shared" si="0"/>
        <v>32</v>
      </c>
      <c r="B38" s="399">
        <v>1</v>
      </c>
      <c r="E38" s="54"/>
      <c r="F38" s="668" t="s">
        <v>151</v>
      </c>
      <c r="G38" s="672"/>
      <c r="H38" s="54"/>
      <c r="I38" s="641" t="s">
        <v>149</v>
      </c>
      <c r="J38" s="404">
        <v>0.2997</v>
      </c>
      <c r="K38" s="57"/>
      <c r="L38" s="429">
        <f t="shared" si="1"/>
        <v>0</v>
      </c>
      <c r="M38" s="405"/>
      <c r="N38" s="405"/>
      <c r="O38" s="405"/>
      <c r="P38" s="405"/>
      <c r="Q38" s="405"/>
      <c r="R38" s="405"/>
      <c r="S38" s="405"/>
      <c r="T38" s="405"/>
      <c r="U38" s="405"/>
      <c r="V38" s="405"/>
      <c r="W38" s="405"/>
      <c r="X38" s="405"/>
      <c r="Y38" s="406"/>
      <c r="Z38" s="406"/>
      <c r="AA38" s="406"/>
      <c r="AB38" s="406"/>
    </row>
    <row r="39" spans="1:28" s="403" customFormat="1" ht="15" customHeight="1" thickBot="1">
      <c r="A39" s="93">
        <f t="shared" si="0"/>
        <v>31</v>
      </c>
      <c r="B39" s="399">
        <v>1</v>
      </c>
      <c r="E39" s="63"/>
      <c r="F39" s="677" t="s">
        <v>152</v>
      </c>
      <c r="G39" s="669"/>
      <c r="H39" s="54"/>
      <c r="I39" s="643" t="s">
        <v>153</v>
      </c>
      <c r="J39" s="408">
        <f>0.0287*3.6</f>
        <v>0.10332</v>
      </c>
      <c r="K39" s="66"/>
      <c r="L39" s="433">
        <f t="shared" si="1"/>
        <v>0</v>
      </c>
      <c r="M39" s="405"/>
      <c r="N39" s="405"/>
      <c r="O39" s="405"/>
      <c r="P39" s="405"/>
      <c r="Q39" s="405"/>
      <c r="R39" s="405"/>
      <c r="S39" s="405"/>
      <c r="T39" s="405"/>
      <c r="U39" s="405"/>
      <c r="V39" s="405"/>
      <c r="W39" s="405"/>
      <c r="X39" s="405"/>
      <c r="Y39" s="406"/>
      <c r="Z39" s="406"/>
      <c r="AA39" s="406"/>
      <c r="AB39" s="406"/>
    </row>
    <row r="40" spans="1:28" s="403" customFormat="1" ht="15" customHeight="1" thickBot="1">
      <c r="A40" s="93">
        <f t="shared" si="0"/>
        <v>30</v>
      </c>
      <c r="B40" s="399">
        <v>1</v>
      </c>
      <c r="E40" s="63"/>
      <c r="F40" s="667" t="s">
        <v>886</v>
      </c>
      <c r="G40" s="67"/>
      <c r="H40" s="66"/>
      <c r="I40" s="66"/>
      <c r="J40" s="408"/>
      <c r="K40" s="66"/>
      <c r="L40" s="433">
        <f t="shared" si="1"/>
        <v>0</v>
      </c>
      <c r="M40" s="405"/>
      <c r="N40" s="405"/>
      <c r="O40" s="405"/>
      <c r="P40" s="405"/>
      <c r="Q40" s="405"/>
      <c r="R40" s="405"/>
      <c r="S40" s="405"/>
      <c r="T40" s="405"/>
      <c r="U40" s="405"/>
      <c r="V40" s="405"/>
      <c r="W40" s="405"/>
      <c r="X40" s="405"/>
      <c r="Y40" s="406"/>
      <c r="Z40" s="406"/>
      <c r="AA40" s="406"/>
      <c r="AB40" s="406"/>
    </row>
    <row r="41" spans="1:28" s="403" customFormat="1" ht="15" customHeight="1" thickBot="1">
      <c r="A41" s="93">
        <f t="shared" si="0"/>
        <v>29</v>
      </c>
      <c r="B41" s="364"/>
      <c r="E41" s="699" t="s">
        <v>154</v>
      </c>
      <c r="F41" s="654"/>
      <c r="G41" s="655"/>
      <c r="H41" s="435"/>
      <c r="I41" s="434"/>
      <c r="J41" s="436"/>
      <c r="K41" s="434"/>
      <c r="L41" s="434"/>
      <c r="M41" s="405"/>
      <c r="N41" s="405"/>
      <c r="O41" s="405"/>
      <c r="P41" s="405"/>
      <c r="Q41" s="405"/>
      <c r="R41" s="405"/>
      <c r="S41" s="405"/>
      <c r="T41" s="405"/>
      <c r="U41" s="405"/>
      <c r="V41" s="405"/>
      <c r="W41" s="405"/>
      <c r="X41" s="405"/>
      <c r="Y41" s="406"/>
      <c r="Z41" s="406"/>
      <c r="AA41" s="406"/>
      <c r="AB41" s="406"/>
    </row>
    <row r="42" spans="1:28" s="403" customFormat="1" ht="15" customHeight="1" thickBot="1">
      <c r="A42" s="93">
        <f t="shared" si="0"/>
        <v>28</v>
      </c>
      <c r="B42" s="399">
        <v>1</v>
      </c>
      <c r="E42" s="54"/>
      <c r="F42" s="678" t="s">
        <v>849</v>
      </c>
      <c r="G42" s="679">
        <f>100/(56/3.785*1.6093)</f>
        <v>4.199918331839044</v>
      </c>
      <c r="H42" s="645"/>
      <c r="I42" s="641" t="s">
        <v>155</v>
      </c>
      <c r="J42" s="404">
        <f>LOOKUP(56,get_gasgperkm)/1000</f>
        <v>0.1000504545010697</v>
      </c>
      <c r="K42" s="57"/>
      <c r="L42" s="429">
        <f aca="true" t="shared" si="4" ref="L42:L55">H42*IF(K42=0,J42,K42)/1000</f>
        <v>0</v>
      </c>
      <c r="M42" s="405"/>
      <c r="N42" s="405"/>
      <c r="O42" s="405"/>
      <c r="P42" s="405"/>
      <c r="Q42" s="405"/>
      <c r="R42" s="405"/>
      <c r="S42" s="405"/>
      <c r="T42" s="405"/>
      <c r="U42" s="405"/>
      <c r="V42" s="405"/>
      <c r="W42" s="405"/>
      <c r="X42" s="405"/>
      <c r="Y42" s="406"/>
      <c r="Z42" s="406"/>
      <c r="AA42" s="406"/>
      <c r="AB42" s="406"/>
    </row>
    <row r="43" spans="1:28" s="403" customFormat="1" ht="15" customHeight="1" thickBot="1">
      <c r="A43" s="93">
        <f t="shared" si="0"/>
        <v>27</v>
      </c>
      <c r="B43" s="399">
        <v>1</v>
      </c>
      <c r="E43" s="54"/>
      <c r="F43" s="668" t="s">
        <v>145</v>
      </c>
      <c r="G43" s="680">
        <f>100/(29/3.785*1.6093)</f>
        <v>8.110187123551254</v>
      </c>
      <c r="H43" s="645"/>
      <c r="I43" s="641" t="s">
        <v>155</v>
      </c>
      <c r="J43" s="404">
        <f>LOOKUP(29,get_gasgperkm)/1000</f>
        <v>0.19320087765723803</v>
      </c>
      <c r="K43" s="57"/>
      <c r="L43" s="429">
        <f t="shared" si="4"/>
        <v>0</v>
      </c>
      <c r="M43" s="405"/>
      <c r="N43" s="405"/>
      <c r="O43" s="405"/>
      <c r="P43" s="405"/>
      <c r="Q43" s="405"/>
      <c r="R43" s="405"/>
      <c r="S43" s="405"/>
      <c r="T43" s="405"/>
      <c r="U43" s="405"/>
      <c r="V43" s="405"/>
      <c r="W43" s="405"/>
      <c r="X43" s="405"/>
      <c r="Y43" s="406"/>
      <c r="Z43" s="406"/>
      <c r="AA43" s="406"/>
      <c r="AB43" s="406"/>
    </row>
    <row r="44" spans="1:28" s="403" customFormat="1" ht="15" customHeight="1" thickBot="1">
      <c r="A44" s="93">
        <f t="shared" si="0"/>
        <v>26</v>
      </c>
      <c r="B44" s="399">
        <v>1</v>
      </c>
      <c r="E44" s="54"/>
      <c r="F44" s="677" t="s">
        <v>147</v>
      </c>
      <c r="G44" s="681">
        <f>100/(23/3.785*1.6093)</f>
        <v>10.225888112303757</v>
      </c>
      <c r="H44" s="645"/>
      <c r="I44" s="641" t="s">
        <v>155</v>
      </c>
      <c r="J44" s="404">
        <f>LOOKUP(23,get_gasgperkm)/1000</f>
        <v>0.24360110661130013</v>
      </c>
      <c r="K44" s="57"/>
      <c r="L44" s="429">
        <f t="shared" si="4"/>
        <v>0</v>
      </c>
      <c r="M44" s="405"/>
      <c r="N44" s="405"/>
      <c r="O44" s="405"/>
      <c r="P44" s="405"/>
      <c r="Q44" s="405"/>
      <c r="R44" s="405"/>
      <c r="S44" s="405"/>
      <c r="T44" s="405"/>
      <c r="U44" s="405"/>
      <c r="V44" s="405"/>
      <c r="W44" s="405"/>
      <c r="X44" s="405"/>
      <c r="Y44" s="406"/>
      <c r="Z44" s="406"/>
      <c r="AA44" s="406"/>
      <c r="AB44" s="406"/>
    </row>
    <row r="45" spans="1:28" s="403" customFormat="1" ht="15" customHeight="1" thickBot="1">
      <c r="A45" s="93">
        <f t="shared" si="0"/>
        <v>25</v>
      </c>
      <c r="B45" s="399">
        <v>1</v>
      </c>
      <c r="E45" s="54"/>
      <c r="F45" s="668" t="s">
        <v>148</v>
      </c>
      <c r="G45" s="680">
        <f>100/(19/3.785*1.6093)</f>
        <v>12.378706662262443</v>
      </c>
      <c r="H45" s="645"/>
      <c r="I45" s="641" t="s">
        <v>155</v>
      </c>
      <c r="J45" s="404">
        <f>LOOKUP(19,get_gasgperkm)/1000</f>
        <v>0.29488555010841594</v>
      </c>
      <c r="K45" s="57"/>
      <c r="L45" s="429">
        <f t="shared" si="4"/>
        <v>0</v>
      </c>
      <c r="M45" s="405"/>
      <c r="N45" s="405"/>
      <c r="O45" s="405"/>
      <c r="P45" s="405"/>
      <c r="Q45" s="405"/>
      <c r="R45" s="405"/>
      <c r="S45" s="405"/>
      <c r="T45" s="405"/>
      <c r="U45" s="405"/>
      <c r="V45" s="405"/>
      <c r="W45" s="405"/>
      <c r="X45" s="405"/>
      <c r="Y45" s="406"/>
      <c r="Z45" s="406"/>
      <c r="AA45" s="406"/>
      <c r="AB45" s="406"/>
    </row>
    <row r="46" spans="1:28" s="403" customFormat="1" ht="15" customHeight="1" thickBot="1">
      <c r="A46" s="93">
        <f t="shared" si="0"/>
        <v>24</v>
      </c>
      <c r="B46" s="399"/>
      <c r="E46" s="71"/>
      <c r="F46" s="682" t="s">
        <v>118</v>
      </c>
      <c r="G46" s="683"/>
      <c r="H46" s="646"/>
      <c r="I46" s="642" t="s">
        <v>155</v>
      </c>
      <c r="J46" s="404">
        <f>J17/1.6093</f>
        <v>0.178</v>
      </c>
      <c r="K46" s="75"/>
      <c r="L46" s="431">
        <f t="shared" si="4"/>
        <v>0</v>
      </c>
      <c r="M46" s="405"/>
      <c r="N46" s="405"/>
      <c r="O46" s="405"/>
      <c r="P46" s="405"/>
      <c r="Q46" s="405"/>
      <c r="R46" s="405"/>
      <c r="S46" s="405"/>
      <c r="T46" s="405"/>
      <c r="U46" s="405"/>
      <c r="V46" s="405"/>
      <c r="W46" s="405"/>
      <c r="X46" s="405"/>
      <c r="Y46" s="406"/>
      <c r="Z46" s="406"/>
      <c r="AA46" s="406"/>
      <c r="AB46" s="406"/>
    </row>
    <row r="47" spans="1:28" s="403" customFormat="1" ht="15" customHeight="1" thickBot="1">
      <c r="A47" s="93">
        <f t="shared" si="0"/>
        <v>23</v>
      </c>
      <c r="B47" s="399">
        <v>1</v>
      </c>
      <c r="E47" s="54"/>
      <c r="F47" s="668" t="s">
        <v>875</v>
      </c>
      <c r="G47" s="680">
        <v>9.799809440957768</v>
      </c>
      <c r="H47" s="645"/>
      <c r="I47" s="641" t="s">
        <v>155</v>
      </c>
      <c r="J47" s="404">
        <f>LOOKUP(24,get_dieselgperkm)/1000</f>
        <v>0.26908032568508056</v>
      </c>
      <c r="K47" s="57"/>
      <c r="L47" s="429">
        <f t="shared" si="4"/>
        <v>0</v>
      </c>
      <c r="M47" s="405"/>
      <c r="N47" s="405"/>
      <c r="O47" s="405"/>
      <c r="P47" s="405"/>
      <c r="Q47" s="405"/>
      <c r="R47" s="405"/>
      <c r="S47" s="405"/>
      <c r="T47" s="405"/>
      <c r="U47" s="405"/>
      <c r="V47" s="405"/>
      <c r="W47" s="405"/>
      <c r="X47" s="405"/>
      <c r="Y47" s="406"/>
      <c r="Z47" s="406"/>
      <c r="AA47" s="406"/>
      <c r="AB47" s="406"/>
    </row>
    <row r="48" spans="1:28" s="403" customFormat="1" ht="15" customHeight="1" thickBot="1">
      <c r="A48" s="93">
        <f t="shared" si="0"/>
        <v>22</v>
      </c>
      <c r="B48" s="399">
        <v>1</v>
      </c>
      <c r="E48" s="54">
        <v>0</v>
      </c>
      <c r="F48" s="668" t="s">
        <v>876</v>
      </c>
      <c r="G48" s="680">
        <v>16.799673327356174</v>
      </c>
      <c r="H48" s="645"/>
      <c r="I48" s="641" t="s">
        <v>155</v>
      </c>
      <c r="J48" s="404">
        <f>LOOKUP(14,get_gasgperkm)/1000</f>
        <v>0.4002018180042788</v>
      </c>
      <c r="K48" s="57"/>
      <c r="L48" s="429">
        <f t="shared" si="4"/>
        <v>0</v>
      </c>
      <c r="M48" s="405"/>
      <c r="N48" s="405"/>
      <c r="O48" s="405"/>
      <c r="P48" s="405"/>
      <c r="Q48" s="405"/>
      <c r="R48" s="405"/>
      <c r="S48" s="405"/>
      <c r="T48" s="405"/>
      <c r="U48" s="405"/>
      <c r="V48" s="405"/>
      <c r="W48" s="405"/>
      <c r="X48" s="405"/>
      <c r="Y48" s="406"/>
      <c r="Z48" s="406"/>
      <c r="AA48" s="406"/>
      <c r="AB48" s="406"/>
    </row>
    <row r="49" spans="1:28" s="403" customFormat="1" ht="15" customHeight="1" thickBot="1">
      <c r="A49" s="93">
        <f t="shared" si="0"/>
        <v>21</v>
      </c>
      <c r="B49" s="399">
        <v>1</v>
      </c>
      <c r="E49" s="54">
        <v>0</v>
      </c>
      <c r="F49" s="668" t="s">
        <v>877</v>
      </c>
      <c r="G49" s="680">
        <v>39.19923776383107</v>
      </c>
      <c r="H49" s="645"/>
      <c r="I49" s="641" t="s">
        <v>155</v>
      </c>
      <c r="J49" s="404">
        <f>LOOKUP(6,get_gasgperkm)/1000</f>
        <v>0.9338042420099838</v>
      </c>
      <c r="K49" s="57"/>
      <c r="L49" s="429">
        <f t="shared" si="4"/>
        <v>0</v>
      </c>
      <c r="M49" s="405"/>
      <c r="N49" s="405"/>
      <c r="O49" s="405"/>
      <c r="P49" s="405"/>
      <c r="Q49" s="405"/>
      <c r="R49" s="405"/>
      <c r="S49" s="405"/>
      <c r="T49" s="405"/>
      <c r="U49" s="405"/>
      <c r="V49" s="405"/>
      <c r="W49" s="405"/>
      <c r="X49" s="405"/>
      <c r="Y49" s="406"/>
      <c r="Z49" s="406"/>
      <c r="AA49" s="406"/>
      <c r="AB49" s="406"/>
    </row>
    <row r="50" spans="1:28" s="403" customFormat="1" ht="15" customHeight="1" thickBot="1">
      <c r="A50" s="93">
        <f t="shared" si="0"/>
        <v>20</v>
      </c>
      <c r="B50" s="399">
        <v>1</v>
      </c>
      <c r="E50" s="54">
        <v>0</v>
      </c>
      <c r="F50" s="668" t="s">
        <v>850</v>
      </c>
      <c r="G50" s="680">
        <v>15.679695105532426</v>
      </c>
      <c r="H50" s="645"/>
      <c r="I50" s="641" t="s">
        <v>155</v>
      </c>
      <c r="J50" s="404">
        <f>LOOKUP(15,get_dieselgperkm)/1000</f>
        <v>0.4305285210961287</v>
      </c>
      <c r="K50" s="57"/>
      <c r="L50" s="429">
        <f t="shared" si="4"/>
        <v>0</v>
      </c>
      <c r="M50" s="405"/>
      <c r="N50" s="405"/>
      <c r="O50" s="405"/>
      <c r="P50" s="405"/>
      <c r="Q50" s="405"/>
      <c r="R50" s="405"/>
      <c r="S50" s="405"/>
      <c r="T50" s="405"/>
      <c r="U50" s="405"/>
      <c r="V50" s="405"/>
      <c r="W50" s="405"/>
      <c r="X50" s="405"/>
      <c r="Y50" s="406"/>
      <c r="Z50" s="406"/>
      <c r="AA50" s="406"/>
      <c r="AB50" s="406"/>
    </row>
    <row r="51" spans="1:28" s="403" customFormat="1" ht="15" customHeight="1" thickBot="1">
      <c r="A51" s="93">
        <f t="shared" si="0"/>
        <v>19</v>
      </c>
      <c r="B51" s="399">
        <v>1</v>
      </c>
      <c r="E51" s="54">
        <v>0</v>
      </c>
      <c r="F51" s="668" t="s">
        <v>851</v>
      </c>
      <c r="G51" s="680">
        <v>33.59934665471235</v>
      </c>
      <c r="H51" s="645"/>
      <c r="I51" s="641" t="s">
        <v>155</v>
      </c>
      <c r="J51" s="404">
        <f>LOOKUP(7,get_dieselgperkm)/1000</f>
        <v>0.9225611166345618</v>
      </c>
      <c r="K51" s="57"/>
      <c r="L51" s="429">
        <f t="shared" si="4"/>
        <v>0</v>
      </c>
      <c r="M51" s="405"/>
      <c r="N51" s="405"/>
      <c r="O51" s="405"/>
      <c r="P51" s="405"/>
      <c r="Q51" s="405"/>
      <c r="R51" s="405"/>
      <c r="S51" s="405"/>
      <c r="T51" s="405"/>
      <c r="U51" s="405"/>
      <c r="V51" s="405"/>
      <c r="W51" s="405"/>
      <c r="X51" s="405"/>
      <c r="Y51" s="406"/>
      <c r="Z51" s="406"/>
      <c r="AA51" s="406"/>
      <c r="AB51" s="406"/>
    </row>
    <row r="52" spans="1:28" s="403" customFormat="1" ht="15" customHeight="1" thickBot="1">
      <c r="A52" s="93">
        <f t="shared" si="0"/>
        <v>18</v>
      </c>
      <c r="B52" s="399">
        <v>1</v>
      </c>
      <c r="E52" s="71">
        <v>0</v>
      </c>
      <c r="F52" s="682" t="s">
        <v>878</v>
      </c>
      <c r="G52" s="696">
        <v>3.9199237763831065</v>
      </c>
      <c r="H52" s="646"/>
      <c r="I52" s="642" t="s">
        <v>155</v>
      </c>
      <c r="J52" s="404">
        <f>LOOKUP(60,get_gasgperkm)/1000</f>
        <v>0.09338042420099836</v>
      </c>
      <c r="K52" s="75"/>
      <c r="L52" s="431">
        <f t="shared" si="4"/>
        <v>0</v>
      </c>
      <c r="M52" s="405"/>
      <c r="N52" s="405"/>
      <c r="O52" s="405"/>
      <c r="P52" s="405"/>
      <c r="Q52" s="405"/>
      <c r="R52" s="405"/>
      <c r="S52" s="405"/>
      <c r="T52" s="405"/>
      <c r="U52" s="405"/>
      <c r="V52" s="405"/>
      <c r="W52" s="405"/>
      <c r="X52" s="405"/>
      <c r="Y52" s="406"/>
      <c r="Z52" s="406"/>
      <c r="AA52" s="406"/>
      <c r="AB52" s="406"/>
    </row>
    <row r="53" spans="1:24" s="406" customFormat="1" ht="15" customHeight="1" thickBot="1">
      <c r="A53" s="93">
        <f t="shared" si="0"/>
        <v>17</v>
      </c>
      <c r="B53" s="415"/>
      <c r="E53" s="54"/>
      <c r="F53" s="812" t="s">
        <v>738</v>
      </c>
      <c r="G53" s="813"/>
      <c r="H53" s="54"/>
      <c r="I53" s="641"/>
      <c r="J53" s="404"/>
      <c r="K53" s="57"/>
      <c r="L53" s="431">
        <f t="shared" si="4"/>
        <v>0</v>
      </c>
      <c r="M53" s="405"/>
      <c r="N53" s="805" t="s">
        <v>741</v>
      </c>
      <c r="O53" s="405"/>
      <c r="P53" s="805"/>
      <c r="Q53" s="805"/>
      <c r="R53" s="805"/>
      <c r="S53" s="805"/>
      <c r="T53" s="805"/>
      <c r="U53" s="805"/>
      <c r="V53" s="805"/>
      <c r="W53" s="805"/>
      <c r="X53" s="805"/>
    </row>
    <row r="54" spans="1:24" s="406" customFormat="1" ht="15" customHeight="1" thickBot="1">
      <c r="A54" s="93">
        <f t="shared" si="0"/>
        <v>16</v>
      </c>
      <c r="B54" s="415"/>
      <c r="E54" s="806"/>
      <c r="F54" s="810"/>
      <c r="G54" s="811"/>
      <c r="H54" s="806"/>
      <c r="I54" s="807"/>
      <c r="J54" s="808"/>
      <c r="K54" s="809"/>
      <c r="L54" s="431">
        <f t="shared" si="4"/>
        <v>0</v>
      </c>
      <c r="M54" s="405"/>
      <c r="N54" s="805" t="s">
        <v>740</v>
      </c>
      <c r="O54" s="405"/>
      <c r="P54" s="805"/>
      <c r="Q54" s="805"/>
      <c r="R54" s="805"/>
      <c r="S54" s="805"/>
      <c r="T54" s="805"/>
      <c r="U54" s="805"/>
      <c r="V54" s="805"/>
      <c r="W54" s="805"/>
      <c r="X54" s="805"/>
    </row>
    <row r="55" spans="1:28" s="403" customFormat="1" ht="15" customHeight="1" thickBot="1">
      <c r="A55" s="93">
        <f t="shared" si="0"/>
        <v>15</v>
      </c>
      <c r="B55" s="399"/>
      <c r="E55" s="447"/>
      <c r="F55" s="678" t="s">
        <v>849</v>
      </c>
      <c r="G55" s="679">
        <f>100/(56/3.785*1.6093)</f>
        <v>4.199918331839044</v>
      </c>
      <c r="H55" s="697"/>
      <c r="I55" s="640" t="s">
        <v>156</v>
      </c>
      <c r="J55" s="448">
        <f>J42/1.8</f>
        <v>0.055583585833927605</v>
      </c>
      <c r="K55" s="449"/>
      <c r="L55" s="429">
        <f t="shared" si="4"/>
        <v>0</v>
      </c>
      <c r="M55" s="405"/>
      <c r="N55" s="405"/>
      <c r="O55" s="405"/>
      <c r="P55" s="405"/>
      <c r="Q55" s="405"/>
      <c r="R55" s="405"/>
      <c r="S55" s="405"/>
      <c r="T55" s="405"/>
      <c r="U55" s="405"/>
      <c r="V55" s="405"/>
      <c r="W55" s="405"/>
      <c r="X55" s="405"/>
      <c r="Y55" s="406"/>
      <c r="Z55" s="406"/>
      <c r="AA55" s="406"/>
      <c r="AB55" s="406"/>
    </row>
    <row r="56" spans="1:28" s="403" customFormat="1" ht="15" customHeight="1" thickBot="1">
      <c r="A56" s="93">
        <f t="shared" si="0"/>
        <v>14</v>
      </c>
      <c r="B56" s="399">
        <v>1</v>
      </c>
      <c r="E56" s="71"/>
      <c r="F56" s="668" t="s">
        <v>145</v>
      </c>
      <c r="G56" s="680">
        <f>100/(29/3.785*1.6093)</f>
        <v>8.110187123551254</v>
      </c>
      <c r="H56" s="646"/>
      <c r="I56" s="642" t="s">
        <v>156</v>
      </c>
      <c r="J56" s="430">
        <f>J43/1.8</f>
        <v>0.1073338209206878</v>
      </c>
      <c r="K56" s="75"/>
      <c r="L56" s="431">
        <f aca="true" t="shared" si="5" ref="L56:L69">H56*IF(K56=0,J56,K56)/1000</f>
        <v>0</v>
      </c>
      <c r="M56" s="405"/>
      <c r="N56" s="405"/>
      <c r="O56" s="405"/>
      <c r="P56" s="405"/>
      <c r="Q56" s="405"/>
      <c r="R56" s="405"/>
      <c r="S56" s="405"/>
      <c r="T56" s="405"/>
      <c r="U56" s="405"/>
      <c r="V56" s="405"/>
      <c r="W56" s="405"/>
      <c r="X56" s="405"/>
      <c r="Y56" s="406"/>
      <c r="Z56" s="406"/>
      <c r="AA56" s="406"/>
      <c r="AB56" s="406"/>
    </row>
    <row r="57" spans="1:28" s="403" customFormat="1" ht="15" customHeight="1" thickBot="1">
      <c r="A57" s="93">
        <f t="shared" si="0"/>
        <v>13</v>
      </c>
      <c r="B57" s="399">
        <v>1</v>
      </c>
      <c r="E57" s="71"/>
      <c r="F57" s="668" t="s">
        <v>147</v>
      </c>
      <c r="G57" s="681">
        <f>100/(23/3.785*1.6093)</f>
        <v>10.225888112303757</v>
      </c>
      <c r="H57" s="646"/>
      <c r="I57" s="642" t="s">
        <v>156</v>
      </c>
      <c r="J57" s="430">
        <f>J44/1.8</f>
        <v>0.13533394811738897</v>
      </c>
      <c r="K57" s="75"/>
      <c r="L57" s="431">
        <f t="shared" si="5"/>
        <v>0</v>
      </c>
      <c r="M57" s="405"/>
      <c r="N57" s="405"/>
      <c r="O57" s="405"/>
      <c r="P57" s="405"/>
      <c r="Q57" s="405"/>
      <c r="R57" s="405"/>
      <c r="S57" s="405"/>
      <c r="T57" s="405"/>
      <c r="U57" s="405"/>
      <c r="V57" s="405"/>
      <c r="W57" s="405"/>
      <c r="X57" s="405"/>
      <c r="Y57" s="406"/>
      <c r="Z57" s="406"/>
      <c r="AA57" s="406"/>
      <c r="AB57" s="406"/>
    </row>
    <row r="58" spans="1:28" s="403" customFormat="1" ht="15" customHeight="1" thickBot="1">
      <c r="A58" s="93">
        <f t="shared" si="0"/>
        <v>12</v>
      </c>
      <c r="B58" s="399">
        <v>1</v>
      </c>
      <c r="E58" s="71"/>
      <c r="F58" s="668" t="s">
        <v>148</v>
      </c>
      <c r="G58" s="680">
        <f>100/(19/3.785*1.6093)</f>
        <v>12.378706662262443</v>
      </c>
      <c r="H58" s="646"/>
      <c r="I58" s="642" t="s">
        <v>156</v>
      </c>
      <c r="J58" s="430">
        <f>J45/1.8</f>
        <v>0.16382530561578662</v>
      </c>
      <c r="K58" s="75"/>
      <c r="L58" s="431">
        <f t="shared" si="5"/>
        <v>0</v>
      </c>
      <c r="M58" s="405"/>
      <c r="N58" s="405"/>
      <c r="O58" s="405"/>
      <c r="P58" s="405"/>
      <c r="Q58" s="405"/>
      <c r="R58" s="405"/>
      <c r="S58" s="405"/>
      <c r="T58" s="405"/>
      <c r="U58" s="405"/>
      <c r="V58" s="405"/>
      <c r="W58" s="405"/>
      <c r="X58" s="405"/>
      <c r="Y58" s="406"/>
      <c r="Z58" s="406"/>
      <c r="AA58" s="406"/>
      <c r="AB58" s="406"/>
    </row>
    <row r="59" spans="1:28" s="403" customFormat="1" ht="15" customHeight="1" thickBot="1">
      <c r="A59" s="93">
        <f t="shared" si="0"/>
        <v>11</v>
      </c>
      <c r="B59" s="399"/>
      <c r="E59" s="71"/>
      <c r="F59" s="682" t="s">
        <v>118</v>
      </c>
      <c r="G59" s="676"/>
      <c r="H59" s="646"/>
      <c r="I59" s="642" t="s">
        <v>156</v>
      </c>
      <c r="J59" s="430">
        <f>J46/1.8</f>
        <v>0.09888888888888889</v>
      </c>
      <c r="K59" s="75"/>
      <c r="L59" s="431">
        <f t="shared" si="5"/>
        <v>0</v>
      </c>
      <c r="M59" s="405"/>
      <c r="N59" s="405"/>
      <c r="O59" s="405"/>
      <c r="P59" s="405"/>
      <c r="Q59" s="405"/>
      <c r="R59" s="405"/>
      <c r="S59" s="405"/>
      <c r="T59" s="405"/>
      <c r="U59" s="405"/>
      <c r="V59" s="405"/>
      <c r="W59" s="405"/>
      <c r="X59" s="405"/>
      <c r="Y59" s="406"/>
      <c r="Z59" s="406"/>
      <c r="AA59" s="406"/>
      <c r="AB59" s="406"/>
    </row>
    <row r="60" spans="1:28" s="403" customFormat="1" ht="15" customHeight="1" thickBot="1">
      <c r="A60" s="93">
        <f t="shared" si="0"/>
        <v>10</v>
      </c>
      <c r="B60" s="399">
        <v>1</v>
      </c>
      <c r="E60" s="71"/>
      <c r="F60" s="668" t="s">
        <v>875</v>
      </c>
      <c r="G60" s="680">
        <v>9.799809440957768</v>
      </c>
      <c r="H60" s="646"/>
      <c r="I60" s="642" t="s">
        <v>156</v>
      </c>
      <c r="J60" s="430">
        <f aca="true" t="shared" si="6" ref="J60:J65">J47/1.8</f>
        <v>0.14948906982504476</v>
      </c>
      <c r="K60" s="75"/>
      <c r="L60" s="431">
        <f t="shared" si="5"/>
        <v>0</v>
      </c>
      <c r="M60" s="405"/>
      <c r="N60" s="405"/>
      <c r="O60" s="405"/>
      <c r="P60" s="405"/>
      <c r="Q60" s="405"/>
      <c r="R60" s="405"/>
      <c r="S60" s="405"/>
      <c r="T60" s="405"/>
      <c r="U60" s="405"/>
      <c r="V60" s="405"/>
      <c r="W60" s="405"/>
      <c r="X60" s="405"/>
      <c r="Y60" s="406"/>
      <c r="Z60" s="406"/>
      <c r="AA60" s="406"/>
      <c r="AB60" s="406"/>
    </row>
    <row r="61" spans="1:28" s="403" customFormat="1" ht="15" customHeight="1" thickBot="1">
      <c r="A61" s="93">
        <f t="shared" si="0"/>
        <v>9</v>
      </c>
      <c r="B61" s="399"/>
      <c r="E61" s="71"/>
      <c r="F61" s="668" t="s">
        <v>876</v>
      </c>
      <c r="G61" s="681">
        <v>16.799673327356174</v>
      </c>
      <c r="H61" s="646"/>
      <c r="I61" s="642" t="s">
        <v>156</v>
      </c>
      <c r="J61" s="430">
        <f t="shared" si="6"/>
        <v>0.22233434333571042</v>
      </c>
      <c r="K61" s="75"/>
      <c r="L61" s="431">
        <f t="shared" si="5"/>
        <v>0</v>
      </c>
      <c r="M61" s="405"/>
      <c r="N61" s="405"/>
      <c r="O61" s="405"/>
      <c r="P61" s="405"/>
      <c r="Q61" s="405"/>
      <c r="R61" s="405"/>
      <c r="S61" s="405"/>
      <c r="T61" s="405"/>
      <c r="U61" s="405"/>
      <c r="V61" s="405"/>
      <c r="W61" s="405"/>
      <c r="X61" s="405"/>
      <c r="Y61" s="406"/>
      <c r="Z61" s="406"/>
      <c r="AA61" s="406"/>
      <c r="AB61" s="406"/>
    </row>
    <row r="62" spans="1:28" s="403" customFormat="1" ht="15" customHeight="1" thickBot="1">
      <c r="A62" s="93">
        <f t="shared" si="0"/>
        <v>8</v>
      </c>
      <c r="B62" s="399"/>
      <c r="E62" s="71"/>
      <c r="F62" s="668" t="s">
        <v>877</v>
      </c>
      <c r="G62" s="681">
        <v>39.19923776383107</v>
      </c>
      <c r="H62" s="646"/>
      <c r="I62" s="642" t="s">
        <v>156</v>
      </c>
      <c r="J62" s="430">
        <f t="shared" si="6"/>
        <v>0.5187801344499909</v>
      </c>
      <c r="K62" s="75"/>
      <c r="L62" s="431">
        <f t="shared" si="5"/>
        <v>0</v>
      </c>
      <c r="M62" s="405"/>
      <c r="N62" s="405"/>
      <c r="O62" s="405"/>
      <c r="P62" s="405"/>
      <c r="Q62" s="405"/>
      <c r="R62" s="405"/>
      <c r="S62" s="405"/>
      <c r="T62" s="405"/>
      <c r="U62" s="405"/>
      <c r="V62" s="405"/>
      <c r="W62" s="405"/>
      <c r="X62" s="405"/>
      <c r="Y62" s="406"/>
      <c r="Z62" s="406"/>
      <c r="AA62" s="406"/>
      <c r="AB62" s="406"/>
    </row>
    <row r="63" spans="1:28" s="403" customFormat="1" ht="15" customHeight="1" thickBot="1">
      <c r="A63" s="93">
        <f t="shared" si="0"/>
        <v>7</v>
      </c>
      <c r="B63" s="399"/>
      <c r="E63" s="71"/>
      <c r="F63" s="668" t="s">
        <v>850</v>
      </c>
      <c r="G63" s="681">
        <v>15.679695105532426</v>
      </c>
      <c r="H63" s="646"/>
      <c r="I63" s="642" t="s">
        <v>156</v>
      </c>
      <c r="J63" s="430">
        <f t="shared" si="6"/>
        <v>0.2391825117200715</v>
      </c>
      <c r="K63" s="75"/>
      <c r="L63" s="431">
        <f t="shared" si="5"/>
        <v>0</v>
      </c>
      <c r="M63" s="405"/>
      <c r="N63" s="405"/>
      <c r="O63" s="405"/>
      <c r="P63" s="405"/>
      <c r="Q63" s="405"/>
      <c r="R63" s="405"/>
      <c r="S63" s="405"/>
      <c r="T63" s="405"/>
      <c r="U63" s="405"/>
      <c r="V63" s="405"/>
      <c r="W63" s="405"/>
      <c r="X63" s="405"/>
      <c r="Y63" s="406"/>
      <c r="Z63" s="406"/>
      <c r="AA63" s="406"/>
      <c r="AB63" s="406"/>
    </row>
    <row r="64" spans="1:28" s="403" customFormat="1" ht="15" customHeight="1" thickBot="1">
      <c r="A64" s="93">
        <f t="shared" si="0"/>
        <v>6</v>
      </c>
      <c r="B64" s="399"/>
      <c r="E64" s="71"/>
      <c r="F64" s="668" t="s">
        <v>851</v>
      </c>
      <c r="G64" s="681">
        <v>33.59934665471235</v>
      </c>
      <c r="H64" s="646"/>
      <c r="I64" s="642" t="s">
        <v>156</v>
      </c>
      <c r="J64" s="430">
        <f t="shared" si="6"/>
        <v>0.5125339536858676</v>
      </c>
      <c r="K64" s="75"/>
      <c r="L64" s="431">
        <f t="shared" si="5"/>
        <v>0</v>
      </c>
      <c r="M64" s="405"/>
      <c r="N64" s="405"/>
      <c r="O64" s="405"/>
      <c r="P64" s="405"/>
      <c r="Q64" s="405"/>
      <c r="R64" s="405"/>
      <c r="S64" s="405"/>
      <c r="T64" s="405"/>
      <c r="U64" s="405"/>
      <c r="V64" s="405"/>
      <c r="W64" s="405"/>
      <c r="X64" s="405"/>
      <c r="Y64" s="406"/>
      <c r="Z64" s="406"/>
      <c r="AA64" s="406"/>
      <c r="AB64" s="406"/>
    </row>
    <row r="65" spans="1:28" s="403" customFormat="1" ht="15" customHeight="1" thickBot="1">
      <c r="A65" s="93">
        <f t="shared" si="0"/>
        <v>5</v>
      </c>
      <c r="B65" s="399"/>
      <c r="E65" s="71"/>
      <c r="F65" s="668" t="s">
        <v>878</v>
      </c>
      <c r="G65" s="681">
        <v>3.9199237763831065</v>
      </c>
      <c r="H65" s="646"/>
      <c r="I65" s="642" t="s">
        <v>156</v>
      </c>
      <c r="J65" s="430">
        <f t="shared" si="6"/>
        <v>0.05187801344499909</v>
      </c>
      <c r="K65" s="75"/>
      <c r="L65" s="431">
        <f t="shared" si="5"/>
        <v>0</v>
      </c>
      <c r="M65" s="405"/>
      <c r="N65" s="405"/>
      <c r="O65" s="405"/>
      <c r="P65" s="405"/>
      <c r="Q65" s="405"/>
      <c r="R65" s="405"/>
      <c r="S65" s="405"/>
      <c r="T65" s="405"/>
      <c r="U65" s="405"/>
      <c r="V65" s="405"/>
      <c r="W65" s="405"/>
      <c r="X65" s="405"/>
      <c r="Y65" s="406"/>
      <c r="Z65" s="406"/>
      <c r="AA65" s="406"/>
      <c r="AB65" s="406"/>
    </row>
    <row r="66" spans="1:28" s="403" customFormat="1" ht="15" customHeight="1" thickBot="1">
      <c r="A66" s="93">
        <f t="shared" si="0"/>
        <v>4</v>
      </c>
      <c r="B66" s="399">
        <v>1</v>
      </c>
      <c r="E66" s="71"/>
      <c r="F66" s="682" t="s">
        <v>150</v>
      </c>
      <c r="G66" s="676"/>
      <c r="H66" s="646">
        <v>0</v>
      </c>
      <c r="I66" s="642" t="s">
        <v>156</v>
      </c>
      <c r="J66" s="430">
        <v>0.0485</v>
      </c>
      <c r="K66" s="75"/>
      <c r="L66" s="431">
        <f t="shared" si="5"/>
        <v>0</v>
      </c>
      <c r="M66" s="405"/>
      <c r="N66" s="405"/>
      <c r="O66" s="405"/>
      <c r="P66" s="405"/>
      <c r="Q66" s="405"/>
      <c r="R66" s="405"/>
      <c r="S66" s="405"/>
      <c r="T66" s="405"/>
      <c r="U66" s="405"/>
      <c r="V66" s="405"/>
      <c r="W66" s="405"/>
      <c r="X66" s="405"/>
      <c r="Y66" s="406"/>
      <c r="Z66" s="406"/>
      <c r="AA66" s="406"/>
      <c r="AB66" s="406"/>
    </row>
    <row r="67" spans="1:28" s="403" customFormat="1" ht="15" customHeight="1" thickBot="1">
      <c r="A67" s="93">
        <f t="shared" si="0"/>
        <v>3</v>
      </c>
      <c r="B67" s="399">
        <v>1</v>
      </c>
      <c r="E67" s="71"/>
      <c r="F67" s="682" t="s">
        <v>151</v>
      </c>
      <c r="G67" s="676"/>
      <c r="H67" s="646">
        <v>0</v>
      </c>
      <c r="I67" s="642" t="s">
        <v>156</v>
      </c>
      <c r="J67" s="430">
        <v>0.1862</v>
      </c>
      <c r="K67" s="75"/>
      <c r="L67" s="431">
        <f t="shared" si="5"/>
        <v>0</v>
      </c>
      <c r="M67" s="405"/>
      <c r="N67" s="405"/>
      <c r="O67" s="405"/>
      <c r="P67" s="405"/>
      <c r="Q67" s="405"/>
      <c r="R67" s="405"/>
      <c r="S67" s="405"/>
      <c r="T67" s="405"/>
      <c r="U67" s="405"/>
      <c r="V67" s="405"/>
      <c r="W67" s="405"/>
      <c r="X67" s="405"/>
      <c r="Y67" s="406"/>
      <c r="Z67" s="406"/>
      <c r="AA67" s="406"/>
      <c r="AB67" s="406"/>
    </row>
    <row r="68" spans="1:28" s="403" customFormat="1" ht="15" customHeight="1" thickBot="1">
      <c r="A68" s="93">
        <f t="shared" si="0"/>
        <v>2</v>
      </c>
      <c r="B68" s="399">
        <v>1</v>
      </c>
      <c r="E68" s="447"/>
      <c r="F68" s="678" t="s">
        <v>152</v>
      </c>
      <c r="G68" s="698"/>
      <c r="H68" s="697"/>
      <c r="I68" s="640" t="s">
        <v>574</v>
      </c>
      <c r="J68" s="448">
        <f>3.6*0.02</f>
        <v>0.07200000000000001</v>
      </c>
      <c r="K68" s="449"/>
      <c r="L68" s="450">
        <f t="shared" si="5"/>
        <v>0</v>
      </c>
      <c r="M68" s="405"/>
      <c r="N68" s="405"/>
      <c r="O68" s="405"/>
      <c r="P68" s="405"/>
      <c r="Q68" s="405"/>
      <c r="R68" s="405"/>
      <c r="S68" s="405"/>
      <c r="T68" s="405"/>
      <c r="U68" s="405"/>
      <c r="V68" s="405"/>
      <c r="W68" s="405"/>
      <c r="X68" s="405"/>
      <c r="Y68" s="406"/>
      <c r="Z68" s="406"/>
      <c r="AA68" s="406"/>
      <c r="AB68" s="406"/>
    </row>
    <row r="69" spans="1:28" s="403" customFormat="1" ht="15" customHeight="1" thickBot="1">
      <c r="A69" s="93">
        <f t="shared" si="0"/>
        <v>1</v>
      </c>
      <c r="B69" s="399">
        <v>1</v>
      </c>
      <c r="E69" s="63"/>
      <c r="F69" s="665"/>
      <c r="G69" s="658"/>
      <c r="H69" s="666"/>
      <c r="I69" s="456"/>
      <c r="J69" s="408"/>
      <c r="K69" s="66"/>
      <c r="L69" s="433">
        <f t="shared" si="5"/>
        <v>0</v>
      </c>
      <c r="M69" s="405"/>
      <c r="N69" s="405"/>
      <c r="O69" s="405"/>
      <c r="P69" s="405"/>
      <c r="Q69" s="405"/>
      <c r="R69" s="405"/>
      <c r="S69" s="405"/>
      <c r="T69" s="405"/>
      <c r="U69" s="405"/>
      <c r="V69" s="405"/>
      <c r="W69" s="405"/>
      <c r="X69" s="405"/>
      <c r="Y69" s="406"/>
      <c r="Z69" s="406"/>
      <c r="AA69" s="406"/>
      <c r="AB69" s="406"/>
    </row>
    <row r="70" spans="1:35" s="398" customFormat="1" ht="20.25" customHeight="1" thickBot="1">
      <c r="A70" s="93">
        <f t="shared" si="0"/>
        <v>24</v>
      </c>
      <c r="B70" s="129"/>
      <c r="C70" s="394"/>
      <c r="D70" s="395" t="s">
        <v>879</v>
      </c>
      <c r="E70" s="409"/>
      <c r="F70" s="394"/>
      <c r="G70" s="394"/>
      <c r="H70" s="396"/>
      <c r="I70" s="396"/>
      <c r="J70" s="394"/>
      <c r="K70" s="394"/>
      <c r="L70" s="428">
        <f ca="1">SUM(OFFSET(L71,0,0,A71,1))</f>
        <v>0</v>
      </c>
      <c r="M70" s="394"/>
      <c r="N70" s="394"/>
      <c r="O70" s="394"/>
      <c r="P70" s="394"/>
      <c r="Q70" s="394"/>
      <c r="R70" s="394"/>
      <c r="S70" s="394"/>
      <c r="T70" s="394"/>
      <c r="U70" s="394"/>
      <c r="V70" s="394"/>
      <c r="W70" s="394"/>
      <c r="X70" s="394"/>
      <c r="Y70" s="397"/>
      <c r="Z70" s="397"/>
      <c r="AA70" s="397"/>
      <c r="AB70" s="397"/>
      <c r="AC70" s="394"/>
      <c r="AD70" s="394"/>
      <c r="AE70" s="394"/>
      <c r="AF70" s="394"/>
      <c r="AG70" s="394"/>
      <c r="AH70" s="394"/>
      <c r="AI70" s="394"/>
    </row>
    <row r="71" spans="1:28" s="403" customFormat="1" ht="15" customHeight="1" thickBot="1">
      <c r="A71" s="93">
        <f aca="true" t="shared" si="7" ref="A71:A134">IF(ISTEXT(D72),1,1+A72)</f>
        <v>23</v>
      </c>
      <c r="B71" s="53">
        <v>1</v>
      </c>
      <c r="E71" s="54"/>
      <c r="F71" s="668" t="s">
        <v>157</v>
      </c>
      <c r="G71" s="676"/>
      <c r="H71" s="646"/>
      <c r="I71" s="641" t="s">
        <v>149</v>
      </c>
      <c r="J71" s="404">
        <f>J73*1.6093</f>
        <v>0.17187324</v>
      </c>
      <c r="K71" s="57"/>
      <c r="L71" s="429">
        <f aca="true" t="shared" si="8" ref="L71:L83">H71*IF(K71=0,J71,K71)/1000</f>
        <v>0</v>
      </c>
      <c r="M71" s="405"/>
      <c r="N71" s="405"/>
      <c r="O71" s="405"/>
      <c r="P71" s="405"/>
      <c r="Q71" s="405"/>
      <c r="R71" s="405"/>
      <c r="S71" s="405"/>
      <c r="T71" s="405"/>
      <c r="U71" s="405"/>
      <c r="V71" s="405"/>
      <c r="W71" s="405"/>
      <c r="X71" s="405"/>
      <c r="Y71" s="406"/>
      <c r="Z71" s="406"/>
      <c r="AA71" s="406"/>
      <c r="AB71" s="406"/>
    </row>
    <row r="72" spans="1:28" s="403" customFormat="1" ht="15" customHeight="1" thickBot="1">
      <c r="A72" s="93">
        <f t="shared" si="7"/>
        <v>22</v>
      </c>
      <c r="B72" s="53">
        <v>1</v>
      </c>
      <c r="E72" s="54"/>
      <c r="F72" s="668" t="s">
        <v>157</v>
      </c>
      <c r="G72" s="676"/>
      <c r="H72" s="646"/>
      <c r="I72" s="643" t="s">
        <v>153</v>
      </c>
      <c r="J72" s="404">
        <v>0.028724</v>
      </c>
      <c r="K72" s="57"/>
      <c r="L72" s="429">
        <f t="shared" si="8"/>
        <v>0</v>
      </c>
      <c r="M72" s="405"/>
      <c r="N72" s="405"/>
      <c r="O72" s="405"/>
      <c r="P72" s="405"/>
      <c r="Q72" s="405"/>
      <c r="R72" s="405"/>
      <c r="S72" s="405"/>
      <c r="T72" s="405"/>
      <c r="U72" s="405"/>
      <c r="V72" s="405"/>
      <c r="W72" s="405"/>
      <c r="X72" s="405"/>
      <c r="Y72" s="406"/>
      <c r="Z72" s="406"/>
      <c r="AA72" s="406"/>
      <c r="AB72" s="406"/>
    </row>
    <row r="73" spans="1:28" s="403" customFormat="1" ht="15" customHeight="1" thickBot="1">
      <c r="A73" s="93">
        <f t="shared" si="7"/>
        <v>21</v>
      </c>
      <c r="B73" s="53">
        <v>1</v>
      </c>
      <c r="E73" s="54"/>
      <c r="F73" s="668" t="s">
        <v>157</v>
      </c>
      <c r="G73" s="672"/>
      <c r="H73" s="645"/>
      <c r="I73" s="641" t="s">
        <v>156</v>
      </c>
      <c r="J73" s="404">
        <v>0.1068</v>
      </c>
      <c r="K73" s="57"/>
      <c r="L73" s="429">
        <f t="shared" si="8"/>
        <v>0</v>
      </c>
      <c r="M73" s="405"/>
      <c r="N73" s="405"/>
      <c r="O73" s="405"/>
      <c r="P73" s="405"/>
      <c r="Q73" s="405"/>
      <c r="R73" s="405"/>
      <c r="S73" s="405"/>
      <c r="T73" s="405"/>
      <c r="U73" s="405"/>
      <c r="V73" s="405"/>
      <c r="W73" s="405"/>
      <c r="X73" s="405"/>
      <c r="Y73" s="406"/>
      <c r="Z73" s="406"/>
      <c r="AA73" s="406"/>
      <c r="AB73" s="406"/>
    </row>
    <row r="74" spans="1:28" s="403" customFormat="1" ht="15" customHeight="1" thickBot="1">
      <c r="A74" s="93">
        <f t="shared" si="7"/>
        <v>20</v>
      </c>
      <c r="B74" s="53">
        <v>1</v>
      </c>
      <c r="E74" s="59"/>
      <c r="F74" s="670" t="s">
        <v>157</v>
      </c>
      <c r="G74" s="671"/>
      <c r="H74" s="648"/>
      <c r="I74" s="644" t="s">
        <v>574</v>
      </c>
      <c r="J74" s="407">
        <v>0.02</v>
      </c>
      <c r="K74" s="62"/>
      <c r="L74" s="432">
        <f t="shared" si="8"/>
        <v>0</v>
      </c>
      <c r="M74" s="405"/>
      <c r="N74" s="405"/>
      <c r="O74" s="405"/>
      <c r="P74" s="405"/>
      <c r="Q74" s="405"/>
      <c r="R74" s="405"/>
      <c r="S74" s="405"/>
      <c r="T74" s="405"/>
      <c r="U74" s="405"/>
      <c r="V74" s="405"/>
      <c r="W74" s="405"/>
      <c r="X74" s="405"/>
      <c r="Y74" s="406"/>
      <c r="Z74" s="406"/>
      <c r="AA74" s="406"/>
      <c r="AB74" s="406"/>
    </row>
    <row r="75" spans="1:28" s="403" customFormat="1" ht="15" customHeight="1" thickBot="1">
      <c r="A75" s="93">
        <f t="shared" si="7"/>
        <v>19</v>
      </c>
      <c r="B75" s="53">
        <v>1</v>
      </c>
      <c r="E75" s="63"/>
      <c r="F75" s="677" t="s">
        <v>158</v>
      </c>
      <c r="G75" s="669"/>
      <c r="H75" s="649"/>
      <c r="I75" s="641" t="s">
        <v>149</v>
      </c>
      <c r="J75" s="408">
        <f>J71*2</f>
        <v>0.34374648</v>
      </c>
      <c r="K75" s="66"/>
      <c r="L75" s="433">
        <f t="shared" si="8"/>
        <v>0</v>
      </c>
      <c r="M75" s="405"/>
      <c r="N75" s="405"/>
      <c r="O75" s="405"/>
      <c r="P75" s="405"/>
      <c r="Q75" s="405"/>
      <c r="R75" s="405"/>
      <c r="S75" s="405"/>
      <c r="T75" s="405"/>
      <c r="U75" s="405"/>
      <c r="V75" s="405"/>
      <c r="W75" s="405"/>
      <c r="X75" s="405"/>
      <c r="Y75" s="406"/>
      <c r="Z75" s="406"/>
      <c r="AA75" s="406"/>
      <c r="AB75" s="406"/>
    </row>
    <row r="76" spans="1:28" s="403" customFormat="1" ht="15" customHeight="1" thickBot="1">
      <c r="A76" s="93">
        <f t="shared" si="7"/>
        <v>18</v>
      </c>
      <c r="B76" s="53">
        <v>1</v>
      </c>
      <c r="E76" s="54"/>
      <c r="F76" s="677" t="s">
        <v>158</v>
      </c>
      <c r="G76" s="669"/>
      <c r="H76" s="647"/>
      <c r="I76" s="643" t="s">
        <v>153</v>
      </c>
      <c r="J76" s="408">
        <f>J72*2</f>
        <v>0.057448</v>
      </c>
      <c r="K76" s="57"/>
      <c r="L76" s="429">
        <f t="shared" si="8"/>
        <v>0</v>
      </c>
      <c r="M76" s="405"/>
      <c r="N76" s="405"/>
      <c r="O76" s="405"/>
      <c r="P76" s="405"/>
      <c r="Q76" s="405"/>
      <c r="R76" s="405"/>
      <c r="S76" s="405"/>
      <c r="T76" s="405"/>
      <c r="U76" s="405"/>
      <c r="V76" s="405"/>
      <c r="W76" s="405"/>
      <c r="X76" s="405"/>
      <c r="Y76" s="406"/>
      <c r="Z76" s="406"/>
      <c r="AA76" s="406"/>
      <c r="AB76" s="406"/>
    </row>
    <row r="77" spans="1:28" s="403" customFormat="1" ht="15" customHeight="1" thickBot="1">
      <c r="A77" s="93">
        <f t="shared" si="7"/>
        <v>17</v>
      </c>
      <c r="B77" s="53">
        <v>1</v>
      </c>
      <c r="E77" s="54"/>
      <c r="F77" s="677" t="s">
        <v>158</v>
      </c>
      <c r="G77" s="669"/>
      <c r="H77" s="647"/>
      <c r="I77" s="641" t="s">
        <v>156</v>
      </c>
      <c r="J77" s="408">
        <f>J73*2</f>
        <v>0.2136</v>
      </c>
      <c r="K77" s="57"/>
      <c r="L77" s="429">
        <f t="shared" si="8"/>
        <v>0</v>
      </c>
      <c r="M77" s="405"/>
      <c r="N77" s="405"/>
      <c r="O77" s="405"/>
      <c r="P77" s="405"/>
      <c r="Q77" s="405"/>
      <c r="R77" s="405"/>
      <c r="S77" s="405"/>
      <c r="T77" s="405"/>
      <c r="U77" s="405"/>
      <c r="V77" s="405"/>
      <c r="W77" s="405"/>
      <c r="X77" s="405"/>
      <c r="Y77" s="406"/>
      <c r="Z77" s="406"/>
      <c r="AA77" s="406"/>
      <c r="AB77" s="406"/>
    </row>
    <row r="78" spans="1:28" s="403" customFormat="1" ht="15" customHeight="1" thickBot="1">
      <c r="A78" s="93">
        <f t="shared" si="7"/>
        <v>16</v>
      </c>
      <c r="B78" s="53">
        <v>1</v>
      </c>
      <c r="E78" s="71"/>
      <c r="F78" s="684" t="s">
        <v>158</v>
      </c>
      <c r="G78" s="716"/>
      <c r="H78" s="695"/>
      <c r="I78" s="685" t="s">
        <v>574</v>
      </c>
      <c r="J78" s="686">
        <f>J74*2</f>
        <v>0.04</v>
      </c>
      <c r="K78" s="75"/>
      <c r="L78" s="431">
        <f t="shared" si="8"/>
        <v>0</v>
      </c>
      <c r="M78" s="405"/>
      <c r="N78" s="405"/>
      <c r="O78" s="405"/>
      <c r="P78" s="405"/>
      <c r="Q78" s="405"/>
      <c r="R78" s="405"/>
      <c r="S78" s="405"/>
      <c r="T78" s="405"/>
      <c r="U78" s="405"/>
      <c r="V78" s="405"/>
      <c r="W78" s="405"/>
      <c r="X78" s="405"/>
      <c r="Y78" s="406"/>
      <c r="Z78" s="406"/>
      <c r="AA78" s="406"/>
      <c r="AB78" s="406"/>
    </row>
    <row r="79" spans="1:28" s="403" customFormat="1" ht="15" customHeight="1" thickBot="1">
      <c r="A79" s="93">
        <f t="shared" si="7"/>
        <v>15</v>
      </c>
      <c r="B79" s="53">
        <v>1</v>
      </c>
      <c r="E79" s="447"/>
      <c r="F79" s="678" t="s">
        <v>899</v>
      </c>
      <c r="G79" s="698"/>
      <c r="H79" s="697"/>
      <c r="I79" s="640" t="s">
        <v>149</v>
      </c>
      <c r="J79" s="448">
        <f>J71*26.3/20.2</f>
        <v>0.22377555504950497</v>
      </c>
      <c r="K79" s="449"/>
      <c r="L79" s="450">
        <f t="shared" si="8"/>
        <v>0</v>
      </c>
      <c r="M79" s="405"/>
      <c r="N79" s="405"/>
      <c r="O79" s="405"/>
      <c r="P79" s="405"/>
      <c r="Q79" s="405"/>
      <c r="R79" s="405"/>
      <c r="S79" s="405"/>
      <c r="T79" s="405"/>
      <c r="U79" s="405"/>
      <c r="V79" s="405"/>
      <c r="W79" s="405"/>
      <c r="X79" s="405"/>
      <c r="Y79" s="406"/>
      <c r="Z79" s="406"/>
      <c r="AA79" s="406"/>
      <c r="AB79" s="406"/>
    </row>
    <row r="80" spans="1:28" s="403" customFormat="1" ht="15" customHeight="1" thickBot="1">
      <c r="A80" s="93">
        <f t="shared" si="7"/>
        <v>14</v>
      </c>
      <c r="B80" s="53">
        <v>1</v>
      </c>
      <c r="E80" s="54"/>
      <c r="F80" s="677" t="s">
        <v>899</v>
      </c>
      <c r="G80" s="669"/>
      <c r="H80" s="647"/>
      <c r="I80" s="643" t="s">
        <v>153</v>
      </c>
      <c r="J80" s="404">
        <f>J72*26.3/20.2</f>
        <v>0.03739807920792079</v>
      </c>
      <c r="K80" s="57"/>
      <c r="L80" s="429">
        <f t="shared" si="8"/>
        <v>0</v>
      </c>
      <c r="M80" s="405"/>
      <c r="N80" s="405"/>
      <c r="O80" s="405"/>
      <c r="P80" s="405"/>
      <c r="Q80" s="405"/>
      <c r="R80" s="405"/>
      <c r="S80" s="405"/>
      <c r="T80" s="405"/>
      <c r="U80" s="405"/>
      <c r="V80" s="405"/>
      <c r="W80" s="405"/>
      <c r="X80" s="405"/>
      <c r="Y80" s="406"/>
      <c r="Z80" s="406"/>
      <c r="AA80" s="406"/>
      <c r="AB80" s="406"/>
    </row>
    <row r="81" spans="1:28" s="403" customFormat="1" ht="15" customHeight="1" thickBot="1">
      <c r="A81" s="93">
        <f t="shared" si="7"/>
        <v>13</v>
      </c>
      <c r="B81" s="53">
        <v>1</v>
      </c>
      <c r="E81" s="54"/>
      <c r="F81" s="677" t="s">
        <v>899</v>
      </c>
      <c r="G81" s="669"/>
      <c r="H81" s="647"/>
      <c r="I81" s="641" t="s">
        <v>156</v>
      </c>
      <c r="J81" s="404">
        <f>J73*26.3/20.2</f>
        <v>0.13905148514851487</v>
      </c>
      <c r="K81" s="57"/>
      <c r="L81" s="429">
        <f t="shared" si="8"/>
        <v>0</v>
      </c>
      <c r="M81" s="405"/>
      <c r="N81" s="405"/>
      <c r="O81" s="405"/>
      <c r="P81" s="405"/>
      <c r="Q81" s="405"/>
      <c r="R81" s="405"/>
      <c r="S81" s="405"/>
      <c r="T81" s="405"/>
      <c r="U81" s="405"/>
      <c r="V81" s="405"/>
      <c r="W81" s="405"/>
      <c r="X81" s="405"/>
      <c r="Y81" s="406"/>
      <c r="Z81" s="406"/>
      <c r="AA81" s="406"/>
      <c r="AB81" s="406"/>
    </row>
    <row r="82" spans="1:28" s="403" customFormat="1" ht="15" customHeight="1" thickBot="1">
      <c r="A82" s="93">
        <f t="shared" si="7"/>
        <v>12</v>
      </c>
      <c r="B82" s="53">
        <v>1</v>
      </c>
      <c r="E82" s="59"/>
      <c r="F82" s="670" t="s">
        <v>899</v>
      </c>
      <c r="G82" s="994"/>
      <c r="H82" s="995"/>
      <c r="I82" s="996" t="s">
        <v>574</v>
      </c>
      <c r="J82" s="407">
        <f>J74*26.3/20.2</f>
        <v>0.026039603960396042</v>
      </c>
      <c r="K82" s="62"/>
      <c r="L82" s="432">
        <f t="shared" si="8"/>
        <v>0</v>
      </c>
      <c r="M82" s="405"/>
      <c r="N82" s="405"/>
      <c r="O82" s="405"/>
      <c r="P82" s="405"/>
      <c r="Q82" s="405"/>
      <c r="R82" s="405"/>
      <c r="S82" s="405"/>
      <c r="T82" s="405"/>
      <c r="U82" s="405"/>
      <c r="V82" s="405"/>
      <c r="W82" s="405"/>
      <c r="X82" s="405"/>
      <c r="Y82" s="406"/>
      <c r="Z82" s="406"/>
      <c r="AA82" s="406"/>
      <c r="AB82" s="406"/>
    </row>
    <row r="83" spans="1:28" s="403" customFormat="1" ht="15" customHeight="1" thickBot="1">
      <c r="A83" s="93">
        <f t="shared" si="7"/>
        <v>11</v>
      </c>
      <c r="B83" s="53"/>
      <c r="E83" s="631"/>
      <c r="F83" s="1021" t="s">
        <v>1006</v>
      </c>
      <c r="G83" s="669"/>
      <c r="H83" s="695"/>
      <c r="I83" s="640" t="s">
        <v>149</v>
      </c>
      <c r="J83" s="999">
        <f>J84/0.6214</f>
        <v>0.0965561635017702</v>
      </c>
      <c r="K83" s="997"/>
      <c r="L83" s="998">
        <f t="shared" si="8"/>
        <v>0</v>
      </c>
      <c r="M83" s="405"/>
      <c r="N83" s="405"/>
      <c r="O83" s="405"/>
      <c r="P83" s="405"/>
      <c r="Q83" s="405"/>
      <c r="R83" s="405"/>
      <c r="S83" s="405"/>
      <c r="T83" s="405"/>
      <c r="U83" s="405"/>
      <c r="V83" s="405"/>
      <c r="W83" s="405"/>
      <c r="X83" s="405"/>
      <c r="Y83" s="406"/>
      <c r="Z83" s="406"/>
      <c r="AA83" s="406"/>
      <c r="AB83" s="406"/>
    </row>
    <row r="84" spans="1:28" s="403" customFormat="1" ht="15" customHeight="1" thickBot="1">
      <c r="A84" s="93">
        <f t="shared" si="7"/>
        <v>10</v>
      </c>
      <c r="B84" s="53"/>
      <c r="E84" s="659"/>
      <c r="F84" s="1022" t="s">
        <v>1007</v>
      </c>
      <c r="G84" s="672"/>
      <c r="H84" s="645"/>
      <c r="I84" s="641" t="s">
        <v>156</v>
      </c>
      <c r="J84" s="404">
        <v>0.06</v>
      </c>
      <c r="K84" s="57"/>
      <c r="L84" s="429">
        <f aca="true" t="shared" si="9" ref="L84:L92">H84*IF(K84=0,J84,K84)/1000</f>
        <v>0</v>
      </c>
      <c r="M84" s="405"/>
      <c r="N84" s="405"/>
      <c r="O84" s="405"/>
      <c r="P84" s="405"/>
      <c r="Q84" s="405"/>
      <c r="R84" s="405"/>
      <c r="S84" s="405"/>
      <c r="T84" s="405"/>
      <c r="U84" s="405"/>
      <c r="V84" s="405"/>
      <c r="W84" s="405"/>
      <c r="X84" s="405"/>
      <c r="Y84" s="406"/>
      <c r="Z84" s="406"/>
      <c r="AA84" s="406"/>
      <c r="AB84" s="406"/>
    </row>
    <row r="85" spans="1:28" s="403" customFormat="1" ht="15" customHeight="1" thickBot="1">
      <c r="A85" s="93">
        <f t="shared" si="7"/>
        <v>9</v>
      </c>
      <c r="B85" s="53"/>
      <c r="E85" s="659"/>
      <c r="F85" s="1023" t="s">
        <v>869</v>
      </c>
      <c r="G85" s="672"/>
      <c r="H85" s="645"/>
      <c r="I85" s="641" t="s">
        <v>149</v>
      </c>
      <c r="J85" s="999">
        <f>J86/0.6214</f>
        <v>0.19090722462863297</v>
      </c>
      <c r="K85" s="57"/>
      <c r="L85" s="429">
        <f t="shared" si="9"/>
        <v>0</v>
      </c>
      <c r="M85" s="405"/>
      <c r="N85" s="405"/>
      <c r="O85" s="405"/>
      <c r="P85" s="405"/>
      <c r="Q85" s="405"/>
      <c r="R85" s="405"/>
      <c r="S85" s="405"/>
      <c r="T85" s="405"/>
      <c r="U85" s="405"/>
      <c r="V85" s="405"/>
      <c r="W85" s="405"/>
      <c r="X85" s="405"/>
      <c r="Y85" s="406"/>
      <c r="Z85" s="406"/>
      <c r="AA85" s="406"/>
      <c r="AB85" s="406"/>
    </row>
    <row r="86" spans="1:28" s="403" customFormat="1" ht="15" customHeight="1" thickBot="1">
      <c r="A86" s="93">
        <f t="shared" si="7"/>
        <v>8</v>
      </c>
      <c r="B86" s="53"/>
      <c r="E86" s="659"/>
      <c r="F86" s="1023" t="s">
        <v>869</v>
      </c>
      <c r="G86" s="672"/>
      <c r="H86" s="645"/>
      <c r="I86" s="641" t="s">
        <v>156</v>
      </c>
      <c r="J86" s="404">
        <v>0.11862974938423251</v>
      </c>
      <c r="K86" s="57"/>
      <c r="L86" s="429">
        <f t="shared" si="9"/>
        <v>0</v>
      </c>
      <c r="M86" s="405"/>
      <c r="N86" s="405"/>
      <c r="O86" s="405"/>
      <c r="P86" s="405"/>
      <c r="Q86" s="405"/>
      <c r="R86" s="405"/>
      <c r="S86" s="405"/>
      <c r="T86" s="405"/>
      <c r="U86" s="405"/>
      <c r="V86" s="405"/>
      <c r="W86" s="405"/>
      <c r="X86" s="405"/>
      <c r="Y86" s="406"/>
      <c r="Z86" s="406"/>
      <c r="AA86" s="406"/>
      <c r="AB86" s="406"/>
    </row>
    <row r="87" spans="1:28" s="403" customFormat="1" ht="15" customHeight="1" thickBot="1">
      <c r="A87" s="93">
        <f t="shared" si="7"/>
        <v>7</v>
      </c>
      <c r="B87" s="53"/>
      <c r="E87" s="659"/>
      <c r="F87" s="1023" t="s">
        <v>870</v>
      </c>
      <c r="G87" s="672"/>
      <c r="H87" s="645"/>
      <c r="I87" s="641" t="s">
        <v>149</v>
      </c>
      <c r="J87" s="999">
        <f>J88/0.6214</f>
        <v>0.1604335452631579</v>
      </c>
      <c r="K87" s="57"/>
      <c r="L87" s="429">
        <f t="shared" si="9"/>
        <v>0</v>
      </c>
      <c r="M87" s="405"/>
      <c r="N87" s="405"/>
      <c r="O87" s="405"/>
      <c r="P87" s="405"/>
      <c r="Q87" s="405"/>
      <c r="R87" s="405"/>
      <c r="S87" s="405"/>
      <c r="T87" s="405"/>
      <c r="U87" s="405"/>
      <c r="V87" s="405"/>
      <c r="W87" s="405"/>
      <c r="X87" s="405"/>
      <c r="Y87" s="406"/>
      <c r="Z87" s="406"/>
      <c r="AA87" s="406"/>
      <c r="AB87" s="406"/>
    </row>
    <row r="88" spans="1:28" s="403" customFormat="1" ht="15" customHeight="1" thickBot="1">
      <c r="A88" s="93">
        <f t="shared" si="7"/>
        <v>6</v>
      </c>
      <c r="B88" s="53"/>
      <c r="E88" s="659"/>
      <c r="F88" s="1023" t="s">
        <v>870</v>
      </c>
      <c r="G88" s="672"/>
      <c r="H88" s="645"/>
      <c r="I88" s="641" t="s">
        <v>156</v>
      </c>
      <c r="J88" s="404">
        <v>0.09969340502652631</v>
      </c>
      <c r="K88" s="57"/>
      <c r="L88" s="429">
        <f t="shared" si="9"/>
        <v>0</v>
      </c>
      <c r="M88" s="405"/>
      <c r="N88" s="405"/>
      <c r="O88" s="405"/>
      <c r="P88" s="405"/>
      <c r="Q88" s="405"/>
      <c r="R88" s="405"/>
      <c r="S88" s="405"/>
      <c r="T88" s="405"/>
      <c r="U88" s="405"/>
      <c r="V88" s="405"/>
      <c r="W88" s="405"/>
      <c r="X88" s="405"/>
      <c r="Y88" s="406"/>
      <c r="Z88" s="406"/>
      <c r="AA88" s="406"/>
      <c r="AB88" s="406"/>
    </row>
    <row r="89" spans="1:28" s="403" customFormat="1" ht="15" customHeight="1" thickBot="1">
      <c r="A89" s="93">
        <f t="shared" si="7"/>
        <v>5</v>
      </c>
      <c r="B89" s="53"/>
      <c r="E89" s="659"/>
      <c r="F89" s="1024" t="s">
        <v>1008</v>
      </c>
      <c r="G89" s="672"/>
      <c r="H89" s="645"/>
      <c r="I89" s="641" t="s">
        <v>149</v>
      </c>
      <c r="J89" s="999">
        <f>J90/0.6214</f>
        <v>0.16494505424377792</v>
      </c>
      <c r="K89" s="57"/>
      <c r="L89" s="429">
        <f t="shared" si="9"/>
        <v>0</v>
      </c>
      <c r="M89" s="405"/>
      <c r="N89" s="405"/>
      <c r="O89" s="405"/>
      <c r="P89" s="405"/>
      <c r="Q89" s="405"/>
      <c r="R89" s="405"/>
      <c r="S89" s="405"/>
      <c r="T89" s="405"/>
      <c r="U89" s="405"/>
      <c r="V89" s="405"/>
      <c r="W89" s="405"/>
      <c r="X89" s="405"/>
      <c r="Y89" s="406"/>
      <c r="Z89" s="406"/>
      <c r="AA89" s="406"/>
      <c r="AB89" s="406"/>
    </row>
    <row r="90" spans="1:28" s="403" customFormat="1" ht="15" customHeight="1" thickBot="1">
      <c r="A90" s="93">
        <f t="shared" si="7"/>
        <v>4</v>
      </c>
      <c r="B90" s="53"/>
      <c r="E90" s="659"/>
      <c r="F90" s="1024" t="s">
        <v>1008</v>
      </c>
      <c r="G90" s="672"/>
      <c r="H90" s="645"/>
      <c r="I90" s="641" t="s">
        <v>156</v>
      </c>
      <c r="J90" s="404">
        <v>0.1024968567070836</v>
      </c>
      <c r="K90" s="57"/>
      <c r="L90" s="429">
        <f t="shared" si="9"/>
        <v>0</v>
      </c>
      <c r="M90" s="405"/>
      <c r="N90" s="405"/>
      <c r="O90" s="405"/>
      <c r="P90" s="405"/>
      <c r="Q90" s="405"/>
      <c r="R90" s="405"/>
      <c r="S90" s="405"/>
      <c r="T90" s="405"/>
      <c r="U90" s="405"/>
      <c r="V90" s="405"/>
      <c r="W90" s="405"/>
      <c r="X90" s="405"/>
      <c r="Y90" s="406"/>
      <c r="Z90" s="406"/>
      <c r="AA90" s="406"/>
      <c r="AB90" s="406"/>
    </row>
    <row r="91" spans="1:28" s="403" customFormat="1" ht="15" customHeight="1" thickBot="1">
      <c r="A91" s="93">
        <f t="shared" si="7"/>
        <v>3</v>
      </c>
      <c r="B91" s="53"/>
      <c r="E91" s="659"/>
      <c r="F91" s="1022" t="s">
        <v>1009</v>
      </c>
      <c r="G91" s="672"/>
      <c r="H91" s="645"/>
      <c r="I91" s="641" t="s">
        <v>149</v>
      </c>
      <c r="J91" s="999">
        <f>J92/0.6214</f>
        <v>0.16623752816221438</v>
      </c>
      <c r="K91" s="57"/>
      <c r="L91" s="429">
        <f t="shared" si="9"/>
        <v>0</v>
      </c>
      <c r="M91" s="405"/>
      <c r="N91" s="405"/>
      <c r="O91" s="405"/>
      <c r="P91" s="405"/>
      <c r="Q91" s="405"/>
      <c r="R91" s="405"/>
      <c r="S91" s="405"/>
      <c r="T91" s="405"/>
      <c r="U91" s="405"/>
      <c r="V91" s="405"/>
      <c r="W91" s="405"/>
      <c r="X91" s="405"/>
      <c r="Y91" s="406"/>
      <c r="Z91" s="406"/>
      <c r="AA91" s="406"/>
      <c r="AB91" s="406"/>
    </row>
    <row r="92" spans="1:28" s="403" customFormat="1" ht="15" customHeight="1" thickBot="1">
      <c r="A92" s="93">
        <f t="shared" si="7"/>
        <v>2</v>
      </c>
      <c r="B92" s="53"/>
      <c r="E92" s="659"/>
      <c r="F92" s="1022" t="s">
        <v>1009</v>
      </c>
      <c r="G92" s="672"/>
      <c r="H92" s="645"/>
      <c r="I92" s="641" t="s">
        <v>156</v>
      </c>
      <c r="J92" s="404">
        <v>0.1033</v>
      </c>
      <c r="K92" s="57"/>
      <c r="L92" s="429">
        <f t="shared" si="9"/>
        <v>0</v>
      </c>
      <c r="M92" s="405"/>
      <c r="N92" s="405"/>
      <c r="O92" s="405"/>
      <c r="P92" s="405"/>
      <c r="Q92" s="405"/>
      <c r="R92" s="405"/>
      <c r="S92" s="405"/>
      <c r="T92" s="405"/>
      <c r="U92" s="405"/>
      <c r="V92" s="405"/>
      <c r="W92" s="405"/>
      <c r="X92" s="405"/>
      <c r="Y92" s="406"/>
      <c r="Z92" s="406"/>
      <c r="AA92" s="406"/>
      <c r="AB92" s="406"/>
    </row>
    <row r="93" spans="1:28" s="403" customFormat="1" ht="15" customHeight="1" thickBot="1">
      <c r="A93" s="93">
        <f t="shared" si="7"/>
        <v>1</v>
      </c>
      <c r="B93" s="53"/>
      <c r="E93" s="54"/>
      <c r="F93" s="665"/>
      <c r="G93" s="658"/>
      <c r="H93" s="666"/>
      <c r="I93" s="456"/>
      <c r="J93" s="408"/>
      <c r="K93" s="57"/>
      <c r="L93" s="429">
        <f>H93*IF(K93=0,J93,K93)/1000</f>
        <v>0</v>
      </c>
      <c r="M93" s="405"/>
      <c r="N93" s="405"/>
      <c r="O93" s="405"/>
      <c r="P93" s="405"/>
      <c r="Q93" s="405"/>
      <c r="R93" s="405"/>
      <c r="S93" s="405"/>
      <c r="T93" s="405"/>
      <c r="U93" s="405"/>
      <c r="V93" s="405"/>
      <c r="W93" s="405"/>
      <c r="X93" s="405"/>
      <c r="Y93" s="406"/>
      <c r="Z93" s="406"/>
      <c r="AA93" s="406"/>
      <c r="AB93" s="406"/>
    </row>
    <row r="94" spans="1:35" s="398" customFormat="1" ht="20.25" customHeight="1" thickBot="1">
      <c r="A94" s="93">
        <f t="shared" si="7"/>
        <v>6</v>
      </c>
      <c r="B94" s="129"/>
      <c r="C94" s="394"/>
      <c r="D94" s="395" t="s">
        <v>847</v>
      </c>
      <c r="E94" s="395" t="s">
        <v>736</v>
      </c>
      <c r="F94" s="394"/>
      <c r="G94" s="394"/>
      <c r="H94" s="396"/>
      <c r="I94" s="396"/>
      <c r="J94" s="394"/>
      <c r="K94" s="394"/>
      <c r="L94" s="428">
        <f ca="1">SUM(OFFSET(L95,0,0,$A95,1))</f>
        <v>0</v>
      </c>
      <c r="M94" s="394"/>
      <c r="N94" s="394"/>
      <c r="O94" s="394"/>
      <c r="P94" s="394"/>
      <c r="Q94" s="394"/>
      <c r="R94" s="394"/>
      <c r="S94" s="394"/>
      <c r="T94" s="394"/>
      <c r="U94" s="394"/>
      <c r="V94" s="394"/>
      <c r="W94" s="394"/>
      <c r="X94" s="394"/>
      <c r="Y94" s="397"/>
      <c r="Z94" s="397"/>
      <c r="AA94" s="397"/>
      <c r="AB94" s="397"/>
      <c r="AC94" s="394"/>
      <c r="AD94" s="394"/>
      <c r="AE94" s="394"/>
      <c r="AF94" s="394"/>
      <c r="AG94" s="394"/>
      <c r="AH94" s="394"/>
      <c r="AI94" s="394"/>
    </row>
    <row r="95" spans="1:28" s="403" customFormat="1" ht="15" customHeight="1" hidden="1" thickBot="1">
      <c r="A95" s="93">
        <f t="shared" si="7"/>
        <v>5</v>
      </c>
      <c r="B95" s="53">
        <v>1</v>
      </c>
      <c r="E95" s="735"/>
      <c r="F95" s="668" t="s">
        <v>159</v>
      </c>
      <c r="G95" s="672"/>
      <c r="H95" s="645"/>
      <c r="I95" s="643" t="s">
        <v>153</v>
      </c>
      <c r="J95" s="404">
        <v>0.051087228500000005</v>
      </c>
      <c r="K95" s="57"/>
      <c r="L95" s="429">
        <f>H95*IF(K95=0,J95,K95)/1000</f>
        <v>0</v>
      </c>
      <c r="M95" s="405"/>
      <c r="N95" s="405"/>
      <c r="O95" s="405"/>
      <c r="P95" s="405"/>
      <c r="Q95" s="405"/>
      <c r="R95" s="405"/>
      <c r="S95" s="405"/>
      <c r="T95" s="405"/>
      <c r="U95" s="405"/>
      <c r="V95" s="405"/>
      <c r="W95" s="405"/>
      <c r="X95" s="405"/>
      <c r="Y95" s="406"/>
      <c r="Z95" s="406"/>
      <c r="AA95" s="406"/>
      <c r="AB95" s="406"/>
    </row>
    <row r="96" spans="1:28" s="403" customFormat="1" ht="15" customHeight="1" hidden="1" thickBot="1">
      <c r="A96" s="93">
        <f t="shared" si="7"/>
        <v>4</v>
      </c>
      <c r="B96" s="53">
        <v>1</v>
      </c>
      <c r="E96" s="735"/>
      <c r="F96" s="668" t="s">
        <v>159</v>
      </c>
      <c r="G96" s="669"/>
      <c r="H96" s="647"/>
      <c r="I96" s="643" t="s">
        <v>574</v>
      </c>
      <c r="J96" s="404">
        <v>0.035</v>
      </c>
      <c r="K96" s="57"/>
      <c r="L96" s="429">
        <f>H96*IF(K96=0,J96,K96)/1000</f>
        <v>0</v>
      </c>
      <c r="M96" s="405"/>
      <c r="N96" s="405"/>
      <c r="O96" s="405"/>
      <c r="P96" s="405"/>
      <c r="Q96" s="405"/>
      <c r="R96" s="405"/>
      <c r="S96" s="405"/>
      <c r="T96" s="405"/>
      <c r="U96" s="405"/>
      <c r="V96" s="405"/>
      <c r="W96" s="405"/>
      <c r="X96" s="405"/>
      <c r="Y96" s="406"/>
      <c r="Z96" s="406"/>
      <c r="AA96" s="406"/>
      <c r="AB96" s="406"/>
    </row>
    <row r="97" spans="1:28" s="403" customFormat="1" ht="15" customHeight="1" hidden="1" thickBot="1">
      <c r="A97" s="93">
        <f t="shared" si="7"/>
        <v>3</v>
      </c>
      <c r="B97" s="53">
        <v>1</v>
      </c>
      <c r="E97" s="735"/>
      <c r="F97" s="668" t="s">
        <v>160</v>
      </c>
      <c r="G97" s="676"/>
      <c r="H97" s="646"/>
      <c r="I97" s="643" t="s">
        <v>153</v>
      </c>
      <c r="J97" s="404">
        <v>0.014596350999999999</v>
      </c>
      <c r="K97" s="57"/>
      <c r="L97" s="429">
        <f>H97*IF(K97=0,J97,K97)/1000</f>
        <v>0</v>
      </c>
      <c r="M97" s="405"/>
      <c r="N97" s="405"/>
      <c r="O97" s="405"/>
      <c r="P97" s="405"/>
      <c r="Q97" s="405"/>
      <c r="R97" s="405"/>
      <c r="S97" s="405"/>
      <c r="T97" s="405"/>
      <c r="U97" s="405"/>
      <c r="V97" s="405"/>
      <c r="W97" s="405"/>
      <c r="X97" s="405"/>
      <c r="Y97" s="406"/>
      <c r="Z97" s="406"/>
      <c r="AA97" s="406"/>
      <c r="AB97" s="406"/>
    </row>
    <row r="98" spans="1:28" s="403" customFormat="1" ht="15" customHeight="1" hidden="1" thickBot="1">
      <c r="A98" s="93">
        <f t="shared" si="7"/>
        <v>2</v>
      </c>
      <c r="B98" s="53">
        <v>1</v>
      </c>
      <c r="E98" s="735"/>
      <c r="F98" s="668" t="s">
        <v>160</v>
      </c>
      <c r="G98" s="672"/>
      <c r="H98" s="645"/>
      <c r="I98" s="641" t="s">
        <v>574</v>
      </c>
      <c r="J98" s="404">
        <v>0.01</v>
      </c>
      <c r="K98" s="57"/>
      <c r="L98" s="429">
        <f>H98*IF(K98=0,J98,K98)/1000</f>
        <v>0</v>
      </c>
      <c r="M98" s="405"/>
      <c r="N98" s="405"/>
      <c r="O98" s="405"/>
      <c r="P98" s="405"/>
      <c r="Q98" s="405"/>
      <c r="R98" s="405"/>
      <c r="S98" s="405"/>
      <c r="T98" s="405"/>
      <c r="U98" s="405"/>
      <c r="V98" s="405"/>
      <c r="W98" s="405"/>
      <c r="X98" s="405"/>
      <c r="Y98" s="406"/>
      <c r="Z98" s="406"/>
      <c r="AA98" s="406"/>
      <c r="AB98" s="406"/>
    </row>
    <row r="99" spans="1:28" s="403" customFormat="1" ht="15" customHeight="1" hidden="1" thickBot="1">
      <c r="A99" s="93">
        <f t="shared" si="7"/>
        <v>1</v>
      </c>
      <c r="B99" s="53">
        <v>1</v>
      </c>
      <c r="E99" s="54"/>
      <c r="F99" s="656"/>
      <c r="G99" s="657"/>
      <c r="H99" s="276"/>
      <c r="I99" s="455"/>
      <c r="J99" s="457"/>
      <c r="K99" s="57"/>
      <c r="L99" s="429">
        <f>H99*IF(K99=0,J99,K99)/1000</f>
        <v>0</v>
      </c>
      <c r="M99" s="405"/>
      <c r="N99" s="405"/>
      <c r="O99" s="405"/>
      <c r="P99" s="405"/>
      <c r="Q99" s="405"/>
      <c r="R99" s="405"/>
      <c r="S99" s="405"/>
      <c r="T99" s="405"/>
      <c r="U99" s="405"/>
      <c r="V99" s="405"/>
      <c r="W99" s="405"/>
      <c r="X99" s="405"/>
      <c r="Y99" s="406"/>
      <c r="Z99" s="406"/>
      <c r="AA99" s="406"/>
      <c r="AB99" s="406"/>
    </row>
    <row r="100" spans="1:35" s="398" customFormat="1" ht="20.25" customHeight="1" thickBot="1">
      <c r="A100" s="93">
        <f t="shared" si="7"/>
        <v>19</v>
      </c>
      <c r="B100" s="129"/>
      <c r="C100" s="394"/>
      <c r="D100" s="395" t="s">
        <v>995</v>
      </c>
      <c r="E100" s="394"/>
      <c r="F100" s="454" t="s">
        <v>579</v>
      </c>
      <c r="G100" s="394"/>
      <c r="H100" s="396"/>
      <c r="I100" s="396"/>
      <c r="J100" s="396"/>
      <c r="K100" s="394"/>
      <c r="L100" s="428">
        <f ca="1">SUM(OFFSET(L102,0,0,$A102,1))</f>
        <v>0</v>
      </c>
      <c r="M100" s="394"/>
      <c r="N100" s="395" t="s">
        <v>896</v>
      </c>
      <c r="O100" s="394"/>
      <c r="P100" s="394"/>
      <c r="Q100" s="394"/>
      <c r="R100" s="394"/>
      <c r="S100" s="394"/>
      <c r="T100" s="394"/>
      <c r="U100" s="394"/>
      <c r="V100" s="394"/>
      <c r="W100" s="394"/>
      <c r="X100" s="394"/>
      <c r="Y100" s="397"/>
      <c r="Z100" s="397"/>
      <c r="AA100" s="397"/>
      <c r="AB100" s="397"/>
      <c r="AC100" s="394"/>
      <c r="AD100" s="394"/>
      <c r="AE100" s="394"/>
      <c r="AF100" s="394"/>
      <c r="AG100" s="394"/>
      <c r="AH100" s="394"/>
      <c r="AI100" s="394"/>
    </row>
    <row r="101" spans="1:30" s="403" customFormat="1" ht="15" customHeight="1" thickBot="1">
      <c r="A101" s="93">
        <f t="shared" si="7"/>
        <v>18</v>
      </c>
      <c r="B101" s="53">
        <v>1</v>
      </c>
      <c r="E101" s="967" t="s">
        <v>37</v>
      </c>
      <c r="F101" s="968"/>
      <c r="G101" s="969"/>
      <c r="H101" s="970"/>
      <c r="I101" s="971"/>
      <c r="J101" s="404"/>
      <c r="K101" s="57"/>
      <c r="L101" s="429"/>
      <c r="M101"/>
      <c r="N101" s="713" t="s">
        <v>898</v>
      </c>
      <c r="O101" s="715" t="s">
        <v>891</v>
      </c>
      <c r="P101" s="714" t="s">
        <v>892</v>
      </c>
      <c r="Q101" s="714"/>
      <c r="R101" s="714"/>
      <c r="S101" s="714" t="s">
        <v>894</v>
      </c>
      <c r="T101" s="714"/>
      <c r="U101" s="405"/>
      <c r="V101" s="405"/>
      <c r="W101" s="405"/>
      <c r="X101" s="405"/>
      <c r="Y101" s="405"/>
      <c r="Z101" s="405"/>
      <c r="AA101" s="406"/>
      <c r="AB101" s="406"/>
      <c r="AC101" s="406"/>
      <c r="AD101" s="406"/>
    </row>
    <row r="102" spans="1:30" s="403" customFormat="1" ht="15" customHeight="1" thickBot="1">
      <c r="A102" s="93">
        <f t="shared" si="7"/>
        <v>17</v>
      </c>
      <c r="B102" s="53">
        <v>1</v>
      </c>
      <c r="E102" s="54"/>
      <c r="F102" s="668" t="s">
        <v>679</v>
      </c>
      <c r="G102" s="669" t="s">
        <v>680</v>
      </c>
      <c r="H102" s="647"/>
      <c r="I102" s="673" t="s">
        <v>575</v>
      </c>
      <c r="J102" s="404">
        <v>0.289674</v>
      </c>
      <c r="K102" s="57"/>
      <c r="L102" s="429">
        <f>H102*IF(K102=0,J102,K102)/1000</f>
        <v>0</v>
      </c>
      <c r="M102"/>
      <c r="N102" s="965"/>
      <c r="O102" s="709">
        <v>1</v>
      </c>
      <c r="P102" s="710" t="s">
        <v>575</v>
      </c>
      <c r="Q102" s="966"/>
      <c r="R102" s="966"/>
      <c r="S102" s="711">
        <f>281*N102*O102</f>
        <v>0</v>
      </c>
      <c r="T102" s="711" t="s">
        <v>897</v>
      </c>
      <c r="U102" s="405"/>
      <c r="V102" s="405"/>
      <c r="W102" s="405"/>
      <c r="X102" s="405"/>
      <c r="Y102" s="405"/>
      <c r="Z102" s="405"/>
      <c r="AA102" s="406"/>
      <c r="AB102" s="406"/>
      <c r="AC102" s="406"/>
      <c r="AD102" s="406"/>
    </row>
    <row r="103" spans="1:30" s="403" customFormat="1" ht="15" customHeight="1" thickBot="1">
      <c r="A103" s="93">
        <f t="shared" si="7"/>
        <v>16</v>
      </c>
      <c r="B103" s="53">
        <v>1</v>
      </c>
      <c r="E103" s="54"/>
      <c r="F103" s="668" t="s">
        <v>681</v>
      </c>
      <c r="G103" s="669" t="s">
        <v>682</v>
      </c>
      <c r="H103" s="647"/>
      <c r="I103" s="673" t="s">
        <v>575</v>
      </c>
      <c r="J103" s="404">
        <v>0.2027718</v>
      </c>
      <c r="K103" s="57"/>
      <c r="L103" s="429">
        <f aca="true" t="shared" si="10" ref="L103:L114">H103*IF(K103=0,J103,K103)/1000</f>
        <v>0</v>
      </c>
      <c r="M103"/>
      <c r="N103" s="965"/>
      <c r="O103" s="709">
        <v>1</v>
      </c>
      <c r="P103" s="710" t="s">
        <v>575</v>
      </c>
      <c r="Q103" s="966"/>
      <c r="R103" s="966"/>
      <c r="S103" s="711">
        <f>994*N103*O103</f>
        <v>0</v>
      </c>
      <c r="T103" s="711"/>
      <c r="U103" s="405"/>
      <c r="V103" s="405"/>
      <c r="W103" s="405"/>
      <c r="X103" s="405"/>
      <c r="Y103" s="405"/>
      <c r="Z103" s="405"/>
      <c r="AA103" s="406"/>
      <c r="AB103" s="406"/>
      <c r="AC103" s="406"/>
      <c r="AD103" s="406"/>
    </row>
    <row r="104" spans="1:30" s="403" customFormat="1" ht="15" customHeight="1" thickBot="1">
      <c r="A104" s="93">
        <f t="shared" si="7"/>
        <v>15</v>
      </c>
      <c r="B104" s="53">
        <v>1</v>
      </c>
      <c r="E104" s="54"/>
      <c r="F104" s="668" t="s">
        <v>683</v>
      </c>
      <c r="G104" s="669" t="s">
        <v>992</v>
      </c>
      <c r="H104" s="647"/>
      <c r="I104" s="673" t="s">
        <v>575</v>
      </c>
      <c r="J104" s="404">
        <v>0.17702299999999999</v>
      </c>
      <c r="K104" s="57"/>
      <c r="L104" s="429">
        <f t="shared" si="10"/>
        <v>0</v>
      </c>
      <c r="M104"/>
      <c r="N104" s="965"/>
      <c r="O104" s="709">
        <v>1</v>
      </c>
      <c r="P104" s="710" t="s">
        <v>575</v>
      </c>
      <c r="Q104" s="966"/>
      <c r="R104" s="966"/>
      <c r="S104" s="711">
        <f>3941*N104*O104</f>
        <v>0</v>
      </c>
      <c r="T104" s="711"/>
      <c r="U104" s="405"/>
      <c r="V104" s="405"/>
      <c r="W104" s="405"/>
      <c r="X104" s="405"/>
      <c r="Y104" s="405"/>
      <c r="Z104" s="405"/>
      <c r="AA104" s="406"/>
      <c r="AB104" s="406"/>
      <c r="AC104" s="406"/>
      <c r="AD104" s="406"/>
    </row>
    <row r="105" spans="1:30" s="403" customFormat="1" ht="15" customHeight="1" thickBot="1">
      <c r="A105" s="93">
        <f t="shared" si="7"/>
        <v>14</v>
      </c>
      <c r="B105" s="53">
        <v>1</v>
      </c>
      <c r="E105" s="54"/>
      <c r="F105" s="668" t="s">
        <v>679</v>
      </c>
      <c r="G105" s="669" t="s">
        <v>680</v>
      </c>
      <c r="H105" s="647"/>
      <c r="I105" s="675" t="s">
        <v>576</v>
      </c>
      <c r="J105" s="404">
        <v>2.3062234580000003</v>
      </c>
      <c r="K105" s="57"/>
      <c r="L105" s="429">
        <f t="shared" si="10"/>
        <v>0</v>
      </c>
      <c r="M105"/>
      <c r="N105" s="965"/>
      <c r="O105" s="709">
        <v>0</v>
      </c>
      <c r="P105" s="712" t="s">
        <v>893</v>
      </c>
      <c r="Q105" s="966"/>
      <c r="R105" s="966"/>
      <c r="S105" s="711">
        <f>281*N105*O105</f>
        <v>0</v>
      </c>
      <c r="T105" s="711"/>
      <c r="U105" s="405"/>
      <c r="V105" s="405"/>
      <c r="W105" s="405"/>
      <c r="X105" s="405"/>
      <c r="Y105" s="405"/>
      <c r="Z105" s="405"/>
      <c r="AA105" s="406"/>
      <c r="AB105" s="406"/>
      <c r="AC105" s="406"/>
      <c r="AD105" s="406"/>
    </row>
    <row r="106" spans="1:30" s="403" customFormat="1" ht="15" customHeight="1" thickBot="1">
      <c r="A106" s="93">
        <f t="shared" si="7"/>
        <v>13</v>
      </c>
      <c r="B106" s="53">
        <v>1</v>
      </c>
      <c r="E106" s="71"/>
      <c r="F106" s="668" t="s">
        <v>681</v>
      </c>
      <c r="G106" s="669" t="s">
        <v>682</v>
      </c>
      <c r="H106" s="647"/>
      <c r="I106" s="675" t="s">
        <v>576</v>
      </c>
      <c r="J106" s="404">
        <v>1.1677080800000001</v>
      </c>
      <c r="K106" s="75"/>
      <c r="L106" s="429">
        <f t="shared" si="10"/>
        <v>0</v>
      </c>
      <c r="M106"/>
      <c r="N106" s="965"/>
      <c r="O106" s="709">
        <v>0</v>
      </c>
      <c r="P106" s="712" t="s">
        <v>893</v>
      </c>
      <c r="Q106" s="966"/>
      <c r="R106" s="966"/>
      <c r="S106" s="711">
        <f>994*N106*O106</f>
        <v>0</v>
      </c>
      <c r="T106" s="711"/>
      <c r="U106" s="405"/>
      <c r="V106" s="405"/>
      <c r="W106" s="405"/>
      <c r="X106" s="405"/>
      <c r="Y106" s="405"/>
      <c r="Z106" s="405"/>
      <c r="AA106" s="406"/>
      <c r="AB106" s="406"/>
      <c r="AC106" s="406"/>
      <c r="AD106" s="406"/>
    </row>
    <row r="107" spans="1:30" s="403" customFormat="1" ht="15" customHeight="1" thickBot="1">
      <c r="A107" s="93">
        <f t="shared" si="7"/>
        <v>12</v>
      </c>
      <c r="B107" s="53">
        <v>1</v>
      </c>
      <c r="E107" s="59"/>
      <c r="F107" s="668" t="s">
        <v>683</v>
      </c>
      <c r="G107" s="669" t="s">
        <v>992</v>
      </c>
      <c r="H107" s="648"/>
      <c r="I107" s="737" t="s">
        <v>576</v>
      </c>
      <c r="J107" s="407">
        <v>0.831992007</v>
      </c>
      <c r="K107" s="62"/>
      <c r="L107" s="432">
        <f t="shared" si="10"/>
        <v>0</v>
      </c>
      <c r="M107"/>
      <c r="N107" s="965"/>
      <c r="O107" s="709">
        <v>0</v>
      </c>
      <c r="P107" s="712" t="s">
        <v>893</v>
      </c>
      <c r="Q107" s="966"/>
      <c r="R107" s="966"/>
      <c r="S107" s="711">
        <f>3941*N107*O107</f>
        <v>0</v>
      </c>
      <c r="T107" s="711"/>
      <c r="U107" s="405"/>
      <c r="V107" s="405"/>
      <c r="W107" s="405"/>
      <c r="X107" s="405"/>
      <c r="Y107" s="405"/>
      <c r="Z107" s="405"/>
      <c r="AA107" s="406"/>
      <c r="AB107" s="406"/>
      <c r="AC107" s="406"/>
      <c r="AD107" s="406"/>
    </row>
    <row r="108" spans="1:30" s="403" customFormat="1" ht="15" customHeight="1" thickBot="1">
      <c r="A108" s="93">
        <f t="shared" si="7"/>
        <v>11</v>
      </c>
      <c r="B108" s="53">
        <v>1</v>
      </c>
      <c r="E108" s="63"/>
      <c r="F108" s="668" t="s">
        <v>679</v>
      </c>
      <c r="G108" s="669" t="s">
        <v>680</v>
      </c>
      <c r="H108" s="647"/>
      <c r="I108" s="736" t="s">
        <v>832</v>
      </c>
      <c r="J108" s="408">
        <v>0.18</v>
      </c>
      <c r="K108" s="66"/>
      <c r="L108" s="429">
        <f t="shared" si="10"/>
        <v>0</v>
      </c>
      <c r="M108"/>
      <c r="N108" s="965"/>
      <c r="O108" s="709">
        <v>1</v>
      </c>
      <c r="P108" s="710" t="s">
        <v>575</v>
      </c>
      <c r="Q108" s="966"/>
      <c r="R108" s="966"/>
      <c r="S108" s="711">
        <f>452*N108*O108</f>
        <v>0</v>
      </c>
      <c r="T108" s="711"/>
      <c r="U108" s="405"/>
      <c r="V108" s="405"/>
      <c r="W108" s="405"/>
      <c r="X108" s="405"/>
      <c r="Y108" s="405"/>
      <c r="Z108" s="405"/>
      <c r="AA108" s="406"/>
      <c r="AB108" s="406"/>
      <c r="AC108" s="406"/>
      <c r="AD108" s="406"/>
    </row>
    <row r="109" spans="1:30" s="403" customFormat="1" ht="15" customHeight="1" thickBot="1">
      <c r="A109" s="93">
        <f t="shared" si="7"/>
        <v>10</v>
      </c>
      <c r="B109" s="53">
        <v>1</v>
      </c>
      <c r="E109" s="54"/>
      <c r="F109" s="668" t="s">
        <v>681</v>
      </c>
      <c r="G109" s="669" t="s">
        <v>682</v>
      </c>
      <c r="H109" s="647"/>
      <c r="I109" s="673" t="s">
        <v>832</v>
      </c>
      <c r="J109" s="404">
        <v>0.126</v>
      </c>
      <c r="K109" s="57"/>
      <c r="L109" s="429">
        <f t="shared" si="10"/>
        <v>0</v>
      </c>
      <c r="M109"/>
      <c r="N109" s="965"/>
      <c r="O109" s="709">
        <v>1</v>
      </c>
      <c r="P109" s="710" t="s">
        <v>575</v>
      </c>
      <c r="Q109" s="966"/>
      <c r="R109" s="966"/>
      <c r="S109" s="711">
        <f>994*N109*O109</f>
        <v>0</v>
      </c>
      <c r="T109" s="711"/>
      <c r="U109" s="405"/>
      <c r="V109" s="405"/>
      <c r="W109" s="405"/>
      <c r="X109" s="405"/>
      <c r="Y109" s="405"/>
      <c r="Z109" s="405"/>
      <c r="AA109" s="406"/>
      <c r="AB109" s="406"/>
      <c r="AC109" s="406"/>
      <c r="AD109" s="406"/>
    </row>
    <row r="110" spans="1:30" s="403" customFormat="1" ht="15" customHeight="1" thickBot="1">
      <c r="A110" s="93">
        <f t="shared" si="7"/>
        <v>9</v>
      </c>
      <c r="B110" s="53">
        <v>1</v>
      </c>
      <c r="E110" s="54"/>
      <c r="F110" s="668" t="s">
        <v>683</v>
      </c>
      <c r="G110" s="669" t="s">
        <v>992</v>
      </c>
      <c r="H110" s="647"/>
      <c r="I110" s="673" t="s">
        <v>832</v>
      </c>
      <c r="J110" s="404">
        <v>0.11</v>
      </c>
      <c r="K110" s="57"/>
      <c r="L110" s="429">
        <f t="shared" si="10"/>
        <v>0</v>
      </c>
      <c r="M110"/>
      <c r="N110" s="965"/>
      <c r="O110" s="709">
        <v>1</v>
      </c>
      <c r="P110" s="710" t="s">
        <v>575</v>
      </c>
      <c r="Q110" s="966"/>
      <c r="R110" s="966"/>
      <c r="S110" s="711">
        <f>6342*N110*O110</f>
        <v>0</v>
      </c>
      <c r="T110" s="711"/>
      <c r="U110" s="405"/>
      <c r="V110" s="405"/>
      <c r="W110" s="405"/>
      <c r="X110" s="405"/>
      <c r="Y110" s="405"/>
      <c r="Z110" s="405"/>
      <c r="AA110" s="406"/>
      <c r="AB110" s="406"/>
      <c r="AC110" s="406"/>
      <c r="AD110" s="406"/>
    </row>
    <row r="111" spans="1:30" s="403" customFormat="1" ht="15" customHeight="1" thickBot="1">
      <c r="A111" s="93">
        <f t="shared" si="7"/>
        <v>8</v>
      </c>
      <c r="B111" s="53">
        <v>1</v>
      </c>
      <c r="E111" s="54"/>
      <c r="F111" s="668" t="s">
        <v>679</v>
      </c>
      <c r="G111" s="669" t="s">
        <v>680</v>
      </c>
      <c r="H111" s="647"/>
      <c r="I111" s="675" t="s">
        <v>574</v>
      </c>
      <c r="J111" s="404">
        <v>1.58</v>
      </c>
      <c r="K111" s="57"/>
      <c r="L111" s="429">
        <f t="shared" si="10"/>
        <v>0</v>
      </c>
      <c r="M111"/>
      <c r="N111" s="965"/>
      <c r="O111" s="709">
        <v>0</v>
      </c>
      <c r="P111" s="712" t="s">
        <v>43</v>
      </c>
      <c r="Q111" s="966"/>
      <c r="R111" s="966"/>
      <c r="S111" s="711">
        <f>452*N111*O111</f>
        <v>0</v>
      </c>
      <c r="T111" s="711"/>
      <c r="U111" s="405"/>
      <c r="V111" s="405"/>
      <c r="W111" s="405"/>
      <c r="X111" s="405"/>
      <c r="Y111" s="405"/>
      <c r="Z111" s="405"/>
      <c r="AA111" s="406"/>
      <c r="AB111" s="406"/>
      <c r="AC111" s="406"/>
      <c r="AD111" s="406"/>
    </row>
    <row r="112" spans="1:30" s="403" customFormat="1" ht="15" customHeight="1" thickBot="1">
      <c r="A112" s="93">
        <f t="shared" si="7"/>
        <v>7</v>
      </c>
      <c r="B112" s="53">
        <v>1</v>
      </c>
      <c r="E112" s="71"/>
      <c r="F112" s="668" t="s">
        <v>681</v>
      </c>
      <c r="G112" s="669" t="s">
        <v>682</v>
      </c>
      <c r="H112" s="647"/>
      <c r="I112" s="675" t="s">
        <v>574</v>
      </c>
      <c r="J112" s="430">
        <v>0.8</v>
      </c>
      <c r="K112" s="75"/>
      <c r="L112" s="429">
        <f t="shared" si="10"/>
        <v>0</v>
      </c>
      <c r="M112"/>
      <c r="N112" s="965"/>
      <c r="O112" s="709">
        <v>0</v>
      </c>
      <c r="P112" s="712" t="s">
        <v>43</v>
      </c>
      <c r="Q112" s="966"/>
      <c r="R112" s="966"/>
      <c r="S112" s="711">
        <f>994*N112*O112</f>
        <v>0</v>
      </c>
      <c r="T112" s="711"/>
      <c r="U112" s="405"/>
      <c r="V112" s="405"/>
      <c r="W112" s="405"/>
      <c r="X112" s="405"/>
      <c r="Y112" s="405"/>
      <c r="Z112" s="405"/>
      <c r="AA112" s="406"/>
      <c r="AB112" s="406"/>
      <c r="AC112" s="406"/>
      <c r="AD112" s="406"/>
    </row>
    <row r="113" spans="1:30" s="403" customFormat="1" ht="15" customHeight="1" thickBot="1">
      <c r="A113" s="93">
        <f t="shared" si="7"/>
        <v>6</v>
      </c>
      <c r="B113" s="53">
        <v>1</v>
      </c>
      <c r="E113" s="54"/>
      <c r="F113" s="668" t="s">
        <v>683</v>
      </c>
      <c r="G113" s="669" t="s">
        <v>992</v>
      </c>
      <c r="H113" s="645"/>
      <c r="I113" s="674" t="s">
        <v>574</v>
      </c>
      <c r="J113" s="404">
        <v>0.57</v>
      </c>
      <c r="K113" s="57"/>
      <c r="L113" s="429">
        <f t="shared" si="10"/>
        <v>0</v>
      </c>
      <c r="M113"/>
      <c r="N113" s="965"/>
      <c r="O113" s="709">
        <v>0</v>
      </c>
      <c r="P113" s="712" t="s">
        <v>43</v>
      </c>
      <c r="Q113" s="966"/>
      <c r="R113" s="966"/>
      <c r="S113" s="711">
        <f>6342*N113*O113</f>
        <v>0</v>
      </c>
      <c r="T113" s="711"/>
      <c r="U113" s="405"/>
      <c r="V113" s="405"/>
      <c r="W113" s="405"/>
      <c r="X113" s="405"/>
      <c r="Y113" s="405"/>
      <c r="Z113" s="405"/>
      <c r="AA113" s="406"/>
      <c r="AB113" s="406"/>
      <c r="AC113" s="406"/>
      <c r="AD113" s="406"/>
    </row>
    <row r="114" spans="1:30" s="403" customFormat="1" ht="15" customHeight="1" thickBot="1">
      <c r="A114" s="93">
        <f t="shared" si="7"/>
        <v>5</v>
      </c>
      <c r="B114" s="53">
        <v>1</v>
      </c>
      <c r="E114" s="54"/>
      <c r="F114" s="659" t="s">
        <v>161</v>
      </c>
      <c r="G114" s="660" t="s">
        <v>888</v>
      </c>
      <c r="H114" s="645"/>
      <c r="I114" s="673" t="s">
        <v>832</v>
      </c>
      <c r="J114" s="439">
        <v>0.218</v>
      </c>
      <c r="K114" s="57"/>
      <c r="L114" s="429">
        <f t="shared" si="10"/>
        <v>0</v>
      </c>
      <c r="M114"/>
      <c r="N114" s="965"/>
      <c r="O114" s="709">
        <v>1</v>
      </c>
      <c r="P114" s="710" t="s">
        <v>575</v>
      </c>
      <c r="Q114" s="966"/>
      <c r="R114" s="966"/>
      <c r="S114" s="711">
        <f>300*N114*O114</f>
        <v>0</v>
      </c>
      <c r="T114" s="711"/>
      <c r="U114" s="405"/>
      <c r="V114" s="405"/>
      <c r="W114" s="405"/>
      <c r="X114" s="405"/>
      <c r="Y114" s="405"/>
      <c r="Z114" s="405"/>
      <c r="AA114" s="406"/>
      <c r="AB114" s="406"/>
      <c r="AC114" s="406"/>
      <c r="AD114" s="406"/>
    </row>
    <row r="115" spans="1:30" s="403" customFormat="1" ht="15" customHeight="1" thickBot="1">
      <c r="A115" s="93">
        <f t="shared" si="7"/>
        <v>4</v>
      </c>
      <c r="B115" s="53">
        <v>1</v>
      </c>
      <c r="E115" s="54"/>
      <c r="F115" s="659" t="s">
        <v>162</v>
      </c>
      <c r="G115" s="660" t="s">
        <v>889</v>
      </c>
      <c r="H115" s="645"/>
      <c r="I115" s="673" t="s">
        <v>832</v>
      </c>
      <c r="J115" s="439">
        <v>0.142</v>
      </c>
      <c r="K115" s="57"/>
      <c r="L115" s="429">
        <f>H115*IF(K115=0,J115,K115)/1000</f>
        <v>0</v>
      </c>
      <c r="M115"/>
      <c r="N115" s="965"/>
      <c r="O115" s="709">
        <v>1</v>
      </c>
      <c r="P115" s="710" t="s">
        <v>575</v>
      </c>
      <c r="Q115" s="966"/>
      <c r="R115" s="966"/>
      <c r="S115" s="711">
        <f>900*N115*O115</f>
        <v>0</v>
      </c>
      <c r="T115" s="711"/>
      <c r="U115" s="405"/>
      <c r="V115" s="405"/>
      <c r="W115" s="405"/>
      <c r="X115" s="405"/>
      <c r="Y115" s="405"/>
      <c r="Z115" s="405"/>
      <c r="AA115" s="406"/>
      <c r="AB115" s="406"/>
      <c r="AC115" s="406"/>
      <c r="AD115" s="406"/>
    </row>
    <row r="116" spans="1:30" s="403" customFormat="1" ht="15" customHeight="1" thickBot="1">
      <c r="A116" s="93">
        <f t="shared" si="7"/>
        <v>3</v>
      </c>
      <c r="B116" s="53">
        <v>1</v>
      </c>
      <c r="E116" s="54"/>
      <c r="F116" s="659" t="s">
        <v>163</v>
      </c>
      <c r="G116" s="660" t="s">
        <v>890</v>
      </c>
      <c r="H116" s="645"/>
      <c r="I116" s="673" t="s">
        <v>832</v>
      </c>
      <c r="J116" s="439">
        <v>0.117</v>
      </c>
      <c r="K116" s="57"/>
      <c r="L116" s="429">
        <f>H116*IF(K116=0,J116,K116)/1000</f>
        <v>0</v>
      </c>
      <c r="M116"/>
      <c r="N116" s="965"/>
      <c r="O116" s="709">
        <v>1</v>
      </c>
      <c r="P116" s="710" t="s">
        <v>575</v>
      </c>
      <c r="Q116" s="966"/>
      <c r="R116" s="966"/>
      <c r="S116" s="711">
        <f>2719*N116*O116</f>
        <v>0</v>
      </c>
      <c r="T116" s="711"/>
      <c r="U116" s="405"/>
      <c r="V116" s="405"/>
      <c r="W116" s="405"/>
      <c r="X116" s="405"/>
      <c r="Y116" s="405"/>
      <c r="Z116" s="405"/>
      <c r="AA116" s="406"/>
      <c r="AB116" s="406"/>
      <c r="AC116" s="406"/>
      <c r="AD116" s="406"/>
    </row>
    <row r="117" spans="1:30" s="403" customFormat="1" ht="15" customHeight="1" thickBot="1">
      <c r="A117" s="93">
        <f t="shared" si="7"/>
        <v>2</v>
      </c>
      <c r="B117" s="53">
        <v>1</v>
      </c>
      <c r="E117" s="54" t="s">
        <v>164</v>
      </c>
      <c r="F117" s="659">
        <v>0</v>
      </c>
      <c r="G117" s="660"/>
      <c r="H117" s="645">
        <v>0</v>
      </c>
      <c r="I117" s="673" t="s">
        <v>832</v>
      </c>
      <c r="J117" s="439">
        <v>0.117</v>
      </c>
      <c r="K117" s="57"/>
      <c r="L117" s="429">
        <f>H117*IF(K117=0,J117,K117)/1000</f>
        <v>0</v>
      </c>
      <c r="M117"/>
      <c r="N117" s="965"/>
      <c r="O117" s="709">
        <v>1</v>
      </c>
      <c r="P117" s="710" t="s">
        <v>575</v>
      </c>
      <c r="Q117" s="966"/>
      <c r="R117" s="966"/>
      <c r="S117" s="711" t="s">
        <v>895</v>
      </c>
      <c r="T117" s="711"/>
      <c r="U117" s="405"/>
      <c r="V117" s="405"/>
      <c r="W117" s="405"/>
      <c r="X117" s="405"/>
      <c r="Y117" s="405"/>
      <c r="Z117" s="405"/>
      <c r="AA117" s="406"/>
      <c r="AB117" s="406"/>
      <c r="AC117" s="406"/>
      <c r="AD117" s="406"/>
    </row>
    <row r="118" spans="1:28" s="403" customFormat="1" ht="15" customHeight="1" thickBot="1">
      <c r="A118" s="93">
        <f t="shared" si="7"/>
        <v>1</v>
      </c>
      <c r="B118" s="53">
        <v>1</v>
      </c>
      <c r="E118" s="54"/>
      <c r="F118" s="659">
        <v>0</v>
      </c>
      <c r="G118" s="660"/>
      <c r="H118" s="645"/>
      <c r="I118" s="440"/>
      <c r="J118" s="439"/>
      <c r="K118" s="57"/>
      <c r="L118" s="429">
        <f>H118*IF(K118=0,J118,K118)/1000</f>
        <v>0</v>
      </c>
      <c r="M118" s="405"/>
      <c r="N118" s="405"/>
      <c r="O118" s="405"/>
      <c r="P118" s="405"/>
      <c r="Q118" s="405"/>
      <c r="R118" s="405"/>
      <c r="S118" s="405"/>
      <c r="T118" s="405"/>
      <c r="U118" s="405"/>
      <c r="V118" s="405"/>
      <c r="W118" s="405"/>
      <c r="X118" s="405"/>
      <c r="Y118" s="406"/>
      <c r="Z118" s="406"/>
      <c r="AA118" s="406"/>
      <c r="AB118" s="406"/>
    </row>
    <row r="119" spans="1:28" s="403" customFormat="1" ht="3" customHeight="1" thickBot="1">
      <c r="A119" s="93">
        <f t="shared" si="7"/>
        <v>1</v>
      </c>
      <c r="B119" s="53"/>
      <c r="D119" s="411" t="s">
        <v>77</v>
      </c>
      <c r="E119" s="410"/>
      <c r="F119" s="410"/>
      <c r="G119" s="410"/>
      <c r="H119" s="412"/>
      <c r="I119" s="406"/>
      <c r="J119" s="413"/>
      <c r="K119" s="414"/>
      <c r="L119" s="466"/>
      <c r="M119" s="405"/>
      <c r="N119" s="405"/>
      <c r="O119" s="405"/>
      <c r="P119" s="405"/>
      <c r="Q119" s="405"/>
      <c r="R119" s="405"/>
      <c r="S119" s="405"/>
      <c r="T119" s="405"/>
      <c r="U119" s="405"/>
      <c r="V119" s="405"/>
      <c r="W119" s="405"/>
      <c r="X119" s="405"/>
      <c r="Y119" s="406"/>
      <c r="Z119" s="406"/>
      <c r="AA119" s="406"/>
      <c r="AB119" s="406"/>
    </row>
    <row r="120" spans="1:35" s="398" customFormat="1" ht="18.75" customHeight="1" thickBot="1">
      <c r="A120" s="93">
        <f t="shared" si="7"/>
        <v>15</v>
      </c>
      <c r="B120" s="129"/>
      <c r="C120" s="394"/>
      <c r="D120" s="395" t="s">
        <v>165</v>
      </c>
      <c r="E120" s="453"/>
      <c r="F120" s="394"/>
      <c r="G120" s="394"/>
      <c r="H120" s="394"/>
      <c r="I120" s="394"/>
      <c r="J120" s="396"/>
      <c r="K120" s="394"/>
      <c r="L120" s="467">
        <f>SUM(L11:L119)/2</f>
        <v>0</v>
      </c>
      <c r="M120" s="454"/>
      <c r="N120" s="454"/>
      <c r="O120" s="454"/>
      <c r="P120" s="454"/>
      <c r="Q120" s="454"/>
      <c r="R120" s="454"/>
      <c r="S120" s="454"/>
      <c r="T120" s="454"/>
      <c r="U120" s="454"/>
      <c r="V120" s="454"/>
      <c r="W120" s="454"/>
      <c r="X120" s="454"/>
      <c r="Y120" s="397"/>
      <c r="Z120" s="397"/>
      <c r="AA120" s="397"/>
      <c r="AB120" s="397"/>
      <c r="AC120" s="394"/>
      <c r="AD120" s="394"/>
      <c r="AE120" s="394"/>
      <c r="AF120" s="394"/>
      <c r="AG120" s="394"/>
      <c r="AH120" s="394"/>
      <c r="AI120" s="394"/>
    </row>
    <row r="121" spans="1:28" ht="18.75" customHeight="1" thickBot="1">
      <c r="A121" s="93">
        <f t="shared" si="7"/>
        <v>14</v>
      </c>
      <c r="N121" s="363"/>
      <c r="O121" s="415"/>
      <c r="P121" s="415"/>
      <c r="Q121" s="415"/>
      <c r="R121" s="415"/>
      <c r="S121" s="415"/>
      <c r="T121" s="415"/>
      <c r="U121" s="415"/>
      <c r="V121" s="415"/>
      <c r="W121" s="415"/>
      <c r="X121" s="415"/>
      <c r="Y121" s="415"/>
      <c r="Z121" s="415"/>
      <c r="AA121" s="415"/>
      <c r="AB121" s="415"/>
    </row>
    <row r="122" spans="1:28" ht="18.75" customHeight="1" thickBot="1">
      <c r="A122" s="93">
        <f t="shared" si="7"/>
        <v>13</v>
      </c>
      <c r="E122" s="1001" t="s">
        <v>853</v>
      </c>
      <c r="F122" s="1002"/>
      <c r="G122" s="1002"/>
      <c r="H122" s="1002"/>
      <c r="I122" s="1002"/>
      <c r="N122" s="363"/>
      <c r="O122" s="415"/>
      <c r="P122" s="415"/>
      <c r="Q122" s="415"/>
      <c r="R122" s="415"/>
      <c r="S122" s="415"/>
      <c r="T122" s="415"/>
      <c r="U122" s="415"/>
      <c r="V122" s="415"/>
      <c r="W122" s="415"/>
      <c r="X122" s="415"/>
      <c r="Y122" s="415"/>
      <c r="Z122" s="415"/>
      <c r="AA122" s="415"/>
      <c r="AB122" s="415"/>
    </row>
    <row r="123" spans="1:28" ht="39.75" customHeight="1" thickBot="1" thickTop="1">
      <c r="A123" s="93">
        <f t="shared" si="7"/>
        <v>12</v>
      </c>
      <c r="E123" s="1003" t="s">
        <v>854</v>
      </c>
      <c r="F123" s="1004" t="s">
        <v>855</v>
      </c>
      <c r="G123" s="1004" t="s">
        <v>856</v>
      </c>
      <c r="H123" s="1002"/>
      <c r="I123" s="1002"/>
      <c r="N123" s="363"/>
      <c r="O123" s="415"/>
      <c r="P123" s="415"/>
      <c r="Q123" s="415"/>
      <c r="R123" s="415"/>
      <c r="S123" s="415"/>
      <c r="T123" s="415"/>
      <c r="U123" s="415"/>
      <c r="V123" s="415"/>
      <c r="W123" s="415"/>
      <c r="X123" s="415"/>
      <c r="Y123" s="415"/>
      <c r="Z123" s="415"/>
      <c r="AA123" s="415"/>
      <c r="AB123" s="415"/>
    </row>
    <row r="124" spans="1:28" ht="18.75" customHeight="1" thickBot="1">
      <c r="A124" s="93">
        <f t="shared" si="7"/>
        <v>11</v>
      </c>
      <c r="E124" s="1005" t="s">
        <v>857</v>
      </c>
      <c r="F124" s="1015">
        <v>0.06</v>
      </c>
      <c r="G124" s="1015">
        <f>F124/I124</f>
        <v>0.0965561635017702</v>
      </c>
      <c r="H124" s="1009" t="s">
        <v>865</v>
      </c>
      <c r="I124" s="1010">
        <v>0.6214</v>
      </c>
      <c r="J124" s="1008" t="s">
        <v>866</v>
      </c>
      <c r="N124" s="363"/>
      <c r="O124" s="415"/>
      <c r="P124" s="415"/>
      <c r="Q124" s="415"/>
      <c r="R124" s="415"/>
      <c r="S124" s="415"/>
      <c r="T124" s="415"/>
      <c r="U124" s="415"/>
      <c r="V124" s="415"/>
      <c r="W124" s="415"/>
      <c r="X124" s="415"/>
      <c r="Y124" s="415"/>
      <c r="Z124" s="415"/>
      <c r="AA124" s="415"/>
      <c r="AB124" s="415"/>
    </row>
    <row r="125" spans="1:28" ht="30" customHeight="1" thickBot="1">
      <c r="A125" s="93">
        <f t="shared" si="7"/>
        <v>10</v>
      </c>
      <c r="E125" s="1006" t="s">
        <v>858</v>
      </c>
      <c r="F125" s="1016">
        <f>G125*I124</f>
        <v>0.11862974938423251</v>
      </c>
      <c r="G125" s="1016">
        <f>(((76.759*10.14)+(470.17*1.34*I127))/5574)</f>
        <v>0.19090722462863297</v>
      </c>
      <c r="H125" s="1009" t="s">
        <v>867</v>
      </c>
      <c r="I125" s="1009">
        <v>1.6093</v>
      </c>
      <c r="J125" s="1009" t="s">
        <v>868</v>
      </c>
      <c r="N125" s="363"/>
      <c r="O125" s="415"/>
      <c r="P125" s="415"/>
      <c r="Q125" s="415"/>
      <c r="R125" s="415"/>
      <c r="S125" s="415"/>
      <c r="T125" s="415"/>
      <c r="U125" s="415"/>
      <c r="V125" s="415"/>
      <c r="W125" s="415"/>
      <c r="X125" s="415"/>
      <c r="Y125" s="415"/>
      <c r="Z125" s="415"/>
      <c r="AA125" s="415"/>
      <c r="AB125" s="415"/>
    </row>
    <row r="126" spans="1:28" ht="30.75" customHeight="1" thickBot="1">
      <c r="A126" s="93">
        <f t="shared" si="7"/>
        <v>9</v>
      </c>
      <c r="E126" s="1006" t="s">
        <v>859</v>
      </c>
      <c r="F126" s="1017">
        <f>G126*I124</f>
        <v>0.09969340502652631</v>
      </c>
      <c r="G126" s="1014">
        <f>(4012*1.34*I127)/15200</f>
        <v>0.1604335452631579</v>
      </c>
      <c r="H126" s="1012" t="s">
        <v>864</v>
      </c>
      <c r="I126" s="1011"/>
      <c r="N126" s="363"/>
      <c r="O126" s="415"/>
      <c r="P126" s="415"/>
      <c r="Q126" s="415"/>
      <c r="R126" s="415"/>
      <c r="S126" s="415"/>
      <c r="T126" s="415"/>
      <c r="U126" s="415"/>
      <c r="V126" s="415"/>
      <c r="W126" s="415"/>
      <c r="X126" s="415"/>
      <c r="Y126" s="415"/>
      <c r="Z126" s="415"/>
      <c r="AA126" s="415"/>
      <c r="AB126" s="415"/>
    </row>
    <row r="127" spans="1:28" ht="16.5" customHeight="1" thickBot="1">
      <c r="A127" s="93">
        <f t="shared" si="7"/>
        <v>8</v>
      </c>
      <c r="E127" s="1006" t="s">
        <v>860</v>
      </c>
      <c r="F127" s="1017">
        <f>G127*I124</f>
        <v>0.1024968567070836</v>
      </c>
      <c r="G127" s="1018">
        <f>(((70.818*10.14)+(1370*1.34*I127))/9402)</f>
        <v>0.16494505424377792</v>
      </c>
      <c r="H127" s="1012"/>
      <c r="I127" s="1011">
        <v>0.4536</v>
      </c>
      <c r="N127" s="363"/>
      <c r="O127" s="415"/>
      <c r="P127" s="415"/>
      <c r="Q127" s="415"/>
      <c r="R127" s="415"/>
      <c r="S127" s="415"/>
      <c r="T127" s="415"/>
      <c r="U127" s="415"/>
      <c r="V127" s="415"/>
      <c r="W127" s="415"/>
      <c r="X127" s="415"/>
      <c r="Y127" s="415"/>
      <c r="Z127" s="415"/>
      <c r="AA127" s="415"/>
      <c r="AB127" s="415"/>
    </row>
    <row r="128" spans="1:28" ht="18.75" customHeight="1" thickBot="1">
      <c r="A128" s="93">
        <f t="shared" si="7"/>
        <v>7</v>
      </c>
      <c r="E128" s="1007" t="s">
        <v>861</v>
      </c>
      <c r="F128" s="1019">
        <v>0.1033</v>
      </c>
      <c r="G128" s="1020">
        <f>F128/I124</f>
        <v>0.16623752816221438</v>
      </c>
      <c r="H128" s="1013"/>
      <c r="I128" s="1008"/>
      <c r="N128" s="363"/>
      <c r="O128" s="415"/>
      <c r="P128" s="415"/>
      <c r="Q128" s="415"/>
      <c r="R128" s="415"/>
      <c r="S128" s="415"/>
      <c r="T128" s="415"/>
      <c r="U128" s="415"/>
      <c r="V128" s="415"/>
      <c r="W128" s="415"/>
      <c r="X128" s="415"/>
      <c r="Y128" s="415"/>
      <c r="Z128" s="415"/>
      <c r="AA128" s="415"/>
      <c r="AB128" s="415"/>
    </row>
    <row r="129" spans="1:28" ht="17.25" customHeight="1" thickBot="1">
      <c r="A129" s="93">
        <f t="shared" si="7"/>
        <v>6</v>
      </c>
      <c r="E129" s="1027" t="s">
        <v>862</v>
      </c>
      <c r="F129" s="1028"/>
      <c r="G129" s="1028"/>
      <c r="H129" s="1028"/>
      <c r="I129" s="1028"/>
      <c r="J129" s="1029"/>
      <c r="K129" s="1029"/>
      <c r="L129" s="1029"/>
      <c r="N129" s="363"/>
      <c r="O129" s="415"/>
      <c r="P129" s="415"/>
      <c r="Q129" s="415"/>
      <c r="R129" s="415"/>
      <c r="S129" s="415"/>
      <c r="T129" s="415"/>
      <c r="U129" s="415"/>
      <c r="V129" s="415"/>
      <c r="W129" s="415"/>
      <c r="X129" s="415"/>
      <c r="Y129" s="415"/>
      <c r="Z129" s="415"/>
      <c r="AA129" s="415"/>
      <c r="AB129" s="415"/>
    </row>
    <row r="130" spans="1:28" ht="27" customHeight="1" thickBot="1">
      <c r="A130" s="93">
        <f t="shared" si="7"/>
        <v>5</v>
      </c>
      <c r="E130" s="1027" t="s">
        <v>871</v>
      </c>
      <c r="F130" s="1028"/>
      <c r="G130" s="1028"/>
      <c r="H130" s="1028"/>
      <c r="I130" s="1028"/>
      <c r="J130" s="1029"/>
      <c r="K130" s="1029"/>
      <c r="L130" s="1029"/>
      <c r="N130" s="363"/>
      <c r="O130" s="415"/>
      <c r="P130" s="415"/>
      <c r="Q130" s="415"/>
      <c r="R130" s="415"/>
      <c r="S130" s="415"/>
      <c r="T130" s="415"/>
      <c r="U130" s="415"/>
      <c r="V130" s="415"/>
      <c r="W130" s="415"/>
      <c r="X130" s="415"/>
      <c r="Y130" s="415"/>
      <c r="Z130" s="415"/>
      <c r="AA130" s="415"/>
      <c r="AB130" s="415"/>
    </row>
    <row r="131" spans="1:28" ht="39" customHeight="1" thickBot="1">
      <c r="A131" s="93">
        <f t="shared" si="7"/>
        <v>4</v>
      </c>
      <c r="E131" s="1027" t="s">
        <v>872</v>
      </c>
      <c r="F131" s="1028"/>
      <c r="G131" s="1028"/>
      <c r="H131" s="1028"/>
      <c r="I131" s="1028"/>
      <c r="J131" s="1029"/>
      <c r="K131" s="1029"/>
      <c r="L131" s="1029"/>
      <c r="N131" s="363"/>
      <c r="O131" s="415"/>
      <c r="P131" s="415"/>
      <c r="Q131" s="415"/>
      <c r="R131" s="415"/>
      <c r="S131" s="415"/>
      <c r="T131" s="415"/>
      <c r="U131" s="415"/>
      <c r="V131" s="415"/>
      <c r="W131" s="415"/>
      <c r="X131" s="415"/>
      <c r="Y131" s="415"/>
      <c r="Z131" s="415"/>
      <c r="AA131" s="415"/>
      <c r="AB131" s="415"/>
    </row>
    <row r="132" spans="1:28" ht="51" customHeight="1" thickBot="1">
      <c r="A132" s="93">
        <f t="shared" si="7"/>
        <v>3</v>
      </c>
      <c r="E132" s="1027" t="s">
        <v>873</v>
      </c>
      <c r="F132" s="1028"/>
      <c r="G132" s="1028"/>
      <c r="H132" s="1028"/>
      <c r="I132" s="1028"/>
      <c r="J132" s="1029"/>
      <c r="K132" s="1029"/>
      <c r="L132" s="1029"/>
      <c r="N132" s="363"/>
      <c r="O132" s="415"/>
      <c r="P132" s="415"/>
      <c r="Q132" s="415"/>
      <c r="R132" s="415"/>
      <c r="S132" s="415"/>
      <c r="T132" s="415"/>
      <c r="U132" s="415"/>
      <c r="V132" s="415"/>
      <c r="W132" s="415"/>
      <c r="X132" s="415"/>
      <c r="Y132" s="415"/>
      <c r="Z132" s="415"/>
      <c r="AA132" s="415"/>
      <c r="AB132" s="415"/>
    </row>
    <row r="133" spans="1:28" ht="28.5" customHeight="1" thickBot="1">
      <c r="A133" s="93">
        <f t="shared" si="7"/>
        <v>2</v>
      </c>
      <c r="E133" s="1027" t="s">
        <v>863</v>
      </c>
      <c r="F133" s="1028"/>
      <c r="G133" s="1028"/>
      <c r="H133" s="1028"/>
      <c r="I133" s="1028"/>
      <c r="J133" s="1029"/>
      <c r="K133" s="1029"/>
      <c r="L133" s="1029"/>
      <c r="N133" s="363"/>
      <c r="O133" s="415"/>
      <c r="P133" s="415"/>
      <c r="Q133" s="415"/>
      <c r="R133" s="415"/>
      <c r="S133" s="415"/>
      <c r="T133" s="415"/>
      <c r="U133" s="415"/>
      <c r="V133" s="415"/>
      <c r="W133" s="415"/>
      <c r="X133" s="415"/>
      <c r="Y133" s="415"/>
      <c r="Z133" s="415"/>
      <c r="AA133" s="415"/>
      <c r="AB133" s="415"/>
    </row>
    <row r="134" spans="1:28" ht="18.75" customHeight="1" thickBot="1">
      <c r="A134" s="93">
        <f t="shared" si="7"/>
        <v>1</v>
      </c>
      <c r="N134" s="363"/>
      <c r="O134" s="415"/>
      <c r="P134" s="415"/>
      <c r="Q134" s="415"/>
      <c r="R134" s="415"/>
      <c r="S134" s="415"/>
      <c r="T134" s="415"/>
      <c r="U134" s="415"/>
      <c r="V134" s="415"/>
      <c r="W134" s="415"/>
      <c r="X134" s="415"/>
      <c r="Y134" s="415"/>
      <c r="Z134" s="415"/>
      <c r="AA134" s="415"/>
      <c r="AB134" s="415"/>
    </row>
    <row r="135" spans="1:28" ht="18.75" customHeight="1" thickBot="1">
      <c r="A135" s="93">
        <f aca="true" t="shared" si="11" ref="A135:A198">IF(ISTEXT(D136),1,1+A136)</f>
        <v>33</v>
      </c>
      <c r="D135" s="365" t="s">
        <v>885</v>
      </c>
      <c r="H135" s="719" t="s">
        <v>586</v>
      </c>
      <c r="N135" s="363"/>
      <c r="O135" s="415"/>
      <c r="P135" s="415"/>
      <c r="Q135" s="415"/>
      <c r="R135" s="415"/>
      <c r="S135" s="415"/>
      <c r="T135" s="415"/>
      <c r="U135" s="415"/>
      <c r="V135" s="415"/>
      <c r="W135" s="415"/>
      <c r="X135" s="415"/>
      <c r="Y135" s="415"/>
      <c r="Z135" s="415"/>
      <c r="AA135" s="415"/>
      <c r="AB135" s="415"/>
    </row>
    <row r="136" spans="1:12" s="361" customFormat="1" ht="15" customHeight="1" hidden="1" thickBot="1">
      <c r="A136" s="93">
        <f t="shared" si="11"/>
        <v>32</v>
      </c>
      <c r="F136" s="361" t="s">
        <v>166</v>
      </c>
      <c r="L136" s="438"/>
    </row>
    <row r="137" spans="1:15" s="361" customFormat="1" ht="15" customHeight="1" hidden="1" thickBot="1">
      <c r="A137" s="93">
        <f t="shared" si="11"/>
        <v>31</v>
      </c>
      <c r="I137" s="459" t="s">
        <v>167</v>
      </c>
      <c r="J137" s="615" t="s">
        <v>168</v>
      </c>
      <c r="K137" s="459"/>
      <c r="L137" s="460"/>
      <c r="M137" s="468"/>
      <c r="N137" s="468"/>
      <c r="O137" s="468"/>
    </row>
    <row r="138" spans="1:15" s="361" customFormat="1" ht="15" customHeight="1" hidden="1" thickBot="1">
      <c r="A138" s="93">
        <f t="shared" si="11"/>
        <v>30</v>
      </c>
      <c r="I138" s="461">
        <v>452</v>
      </c>
      <c r="J138" s="462">
        <v>0.18</v>
      </c>
      <c r="K138" s="461" t="s">
        <v>170</v>
      </c>
      <c r="L138" s="463"/>
      <c r="M138" s="468"/>
      <c r="N138" s="468"/>
      <c r="O138" s="468"/>
    </row>
    <row r="139" spans="1:20" s="361" customFormat="1" ht="15" customHeight="1" hidden="1" thickBot="1">
      <c r="A139" s="93">
        <f t="shared" si="11"/>
        <v>29</v>
      </c>
      <c r="I139" s="461">
        <v>6342</v>
      </c>
      <c r="J139" s="462">
        <v>0.11</v>
      </c>
      <c r="K139" s="461" t="s">
        <v>170</v>
      </c>
      <c r="L139" s="463"/>
      <c r="M139" s="468"/>
      <c r="N139" s="468"/>
      <c r="O139" s="468"/>
      <c r="Q139" s="527" t="s">
        <v>169</v>
      </c>
      <c r="R139" s="468"/>
      <c r="S139" s="468"/>
      <c r="T139" s="468"/>
    </row>
    <row r="140" spans="1:21" ht="15" customHeight="1" hidden="1" thickBot="1">
      <c r="A140" s="93">
        <f t="shared" si="11"/>
        <v>28</v>
      </c>
      <c r="F140" s="361"/>
      <c r="G140" s="361"/>
      <c r="H140" s="458" t="s">
        <v>173</v>
      </c>
      <c r="I140" s="465"/>
      <c r="J140" s="462">
        <f>IF(I140=0,0,((I140*R$143+$R$144)/I140))</f>
        <v>0</v>
      </c>
      <c r="K140" s="461" t="s">
        <v>174</v>
      </c>
      <c r="L140" s="463"/>
      <c r="M140" s="469"/>
      <c r="N140" s="469"/>
      <c r="O140" s="469"/>
      <c r="Q140" s="527" t="s">
        <v>171</v>
      </c>
      <c r="R140" s="468"/>
      <c r="S140" s="468" t="s">
        <v>130</v>
      </c>
      <c r="T140" s="468"/>
      <c r="U140" s="361"/>
    </row>
    <row r="141" spans="1:21" ht="15" customHeight="1" hidden="1" thickBot="1">
      <c r="A141" s="93">
        <f t="shared" si="11"/>
        <v>27</v>
      </c>
      <c r="F141" s="361"/>
      <c r="G141" s="361"/>
      <c r="H141" s="458" t="s">
        <v>173</v>
      </c>
      <c r="I141" s="465"/>
      <c r="J141" s="462">
        <f>IF(I141=0,0,((I141*R$143+$R$144)/I141))</f>
        <v>0</v>
      </c>
      <c r="K141" s="461" t="s">
        <v>174</v>
      </c>
      <c r="L141" s="463"/>
      <c r="M141" s="469"/>
      <c r="N141" s="469"/>
      <c r="O141" s="469"/>
      <c r="Q141" s="527" t="s">
        <v>172</v>
      </c>
      <c r="R141" s="468"/>
      <c r="S141" s="468" t="s">
        <v>131</v>
      </c>
      <c r="T141" s="468"/>
      <c r="U141" s="361"/>
    </row>
    <row r="142" spans="1:20" ht="15" customHeight="1" hidden="1" thickBot="1">
      <c r="A142" s="93">
        <f t="shared" si="11"/>
        <v>26</v>
      </c>
      <c r="F142" s="361"/>
      <c r="G142" s="361"/>
      <c r="H142" s="361"/>
      <c r="I142" s="461">
        <v>300</v>
      </c>
      <c r="J142" s="462">
        <f aca="true" t="shared" si="12" ref="J142:J166">(I142*R$143+$R$144)/I142</f>
        <v>0.21818838709677418</v>
      </c>
      <c r="K142" s="461" t="s">
        <v>174</v>
      </c>
      <c r="L142" s="463"/>
      <c r="M142" s="469"/>
      <c r="N142" s="469"/>
      <c r="O142" s="469"/>
      <c r="Q142" s="527">
        <f>6342-452</f>
        <v>5890</v>
      </c>
      <c r="R142" s="469">
        <f>0.11*6342-0.18*452</f>
        <v>616.26</v>
      </c>
      <c r="S142" s="469"/>
      <c r="T142" s="469"/>
    </row>
    <row r="143" spans="1:20" ht="15" customHeight="1" hidden="1" thickBot="1">
      <c r="A143" s="93">
        <f t="shared" si="11"/>
        <v>25</v>
      </c>
      <c r="F143" s="361"/>
      <c r="G143" s="361"/>
      <c r="H143" s="361"/>
      <c r="I143" s="461">
        <v>600</v>
      </c>
      <c r="J143" s="462">
        <f t="shared" si="12"/>
        <v>0.16140828522920203</v>
      </c>
      <c r="K143" s="461" t="s">
        <v>174</v>
      </c>
      <c r="L143" s="463"/>
      <c r="N143" s="469"/>
      <c r="O143" s="469"/>
      <c r="Q143" s="527" t="s">
        <v>175</v>
      </c>
      <c r="R143" s="469">
        <f>R142/(6342-452)</f>
        <v>0.10462818336162988</v>
      </c>
      <c r="S143" s="469" t="s">
        <v>176</v>
      </c>
      <c r="T143" s="469"/>
    </row>
    <row r="144" spans="1:20" ht="15" customHeight="1" hidden="1" thickBot="1">
      <c r="A144" s="93">
        <f t="shared" si="11"/>
        <v>24</v>
      </c>
      <c r="I144" s="461">
        <v>900</v>
      </c>
      <c r="J144" s="462">
        <f t="shared" si="12"/>
        <v>0.14248158460667798</v>
      </c>
      <c r="K144" s="461" t="s">
        <v>174</v>
      </c>
      <c r="L144" s="463"/>
      <c r="Q144" s="528" t="s">
        <v>177</v>
      </c>
      <c r="R144" s="469">
        <f>0.18*452-452*R143</f>
        <v>34.06806112054329</v>
      </c>
      <c r="S144" s="469" t="s">
        <v>178</v>
      </c>
      <c r="T144" s="469"/>
    </row>
    <row r="145" spans="1:12" ht="15" customHeight="1" hidden="1" thickBot="1">
      <c r="A145" s="93">
        <f t="shared" si="11"/>
        <v>23</v>
      </c>
      <c r="I145" s="461">
        <v>1200</v>
      </c>
      <c r="J145" s="462">
        <f t="shared" si="12"/>
        <v>0.13301823429541595</v>
      </c>
      <c r="K145" s="461" t="s">
        <v>174</v>
      </c>
      <c r="L145" s="463"/>
    </row>
    <row r="146" spans="1:12" ht="15" customHeight="1" hidden="1" thickBot="1">
      <c r="A146" s="93">
        <f t="shared" si="11"/>
        <v>22</v>
      </c>
      <c r="I146" s="461">
        <v>1500</v>
      </c>
      <c r="J146" s="462">
        <f t="shared" si="12"/>
        <v>0.12734022410865872</v>
      </c>
      <c r="K146" s="461" t="s">
        <v>174</v>
      </c>
      <c r="L146" s="464"/>
    </row>
    <row r="147" spans="1:12" ht="15" customHeight="1" hidden="1" thickBot="1">
      <c r="A147" s="93">
        <f t="shared" si="11"/>
        <v>21</v>
      </c>
      <c r="I147" s="461">
        <v>1800</v>
      </c>
      <c r="J147" s="462">
        <f t="shared" si="12"/>
        <v>0.12355488398415394</v>
      </c>
      <c r="K147" s="461" t="s">
        <v>174</v>
      </c>
      <c r="L147" s="464"/>
    </row>
    <row r="148" spans="1:12" ht="15" customHeight="1" hidden="1" thickBot="1">
      <c r="A148" s="93">
        <f t="shared" si="11"/>
        <v>20</v>
      </c>
      <c r="I148" s="461">
        <v>2100</v>
      </c>
      <c r="J148" s="462">
        <f t="shared" si="12"/>
        <v>0.12085106960950764</v>
      </c>
      <c r="K148" s="461" t="s">
        <v>174</v>
      </c>
      <c r="L148" s="464"/>
    </row>
    <row r="149" spans="1:12" ht="15" customHeight="1" hidden="1" thickBot="1">
      <c r="A149" s="93">
        <f t="shared" si="11"/>
        <v>19</v>
      </c>
      <c r="I149" s="461">
        <v>2400</v>
      </c>
      <c r="J149" s="462">
        <f t="shared" si="12"/>
        <v>0.11882320882852293</v>
      </c>
      <c r="K149" s="461" t="s">
        <v>174</v>
      </c>
      <c r="L149" s="464"/>
    </row>
    <row r="150" spans="1:12" ht="15" customHeight="1" hidden="1" thickBot="1">
      <c r="A150" s="93">
        <f t="shared" si="11"/>
        <v>18</v>
      </c>
      <c r="I150" s="461">
        <v>2700</v>
      </c>
      <c r="J150" s="462">
        <f t="shared" si="12"/>
        <v>0.1172459837766459</v>
      </c>
      <c r="K150" s="461" t="s">
        <v>174</v>
      </c>
      <c r="L150" s="464"/>
    </row>
    <row r="151" spans="1:12" ht="15" customHeight="1" hidden="1" thickBot="1">
      <c r="A151" s="93">
        <f t="shared" si="11"/>
        <v>17</v>
      </c>
      <c r="I151" s="461">
        <v>3000</v>
      </c>
      <c r="J151" s="462">
        <f t="shared" si="12"/>
        <v>0.1159842037351443</v>
      </c>
      <c r="K151" s="461" t="s">
        <v>174</v>
      </c>
      <c r="L151" s="464"/>
    </row>
    <row r="152" spans="1:12" ht="15" customHeight="1" hidden="1" thickBot="1">
      <c r="A152" s="93">
        <f t="shared" si="11"/>
        <v>16</v>
      </c>
      <c r="I152" s="461">
        <v>3300</v>
      </c>
      <c r="J152" s="462">
        <f t="shared" si="12"/>
        <v>0.11495183824664298</v>
      </c>
      <c r="K152" s="461" t="s">
        <v>174</v>
      </c>
      <c r="L152" s="464"/>
    </row>
    <row r="153" spans="1:12" ht="15" customHeight="1" hidden="1" thickBot="1">
      <c r="A153" s="93">
        <f t="shared" si="11"/>
        <v>15</v>
      </c>
      <c r="I153" s="461">
        <v>3600</v>
      </c>
      <c r="J153" s="462">
        <f t="shared" si="12"/>
        <v>0.11409153367289192</v>
      </c>
      <c r="K153" s="461" t="s">
        <v>174</v>
      </c>
      <c r="L153" s="464"/>
    </row>
    <row r="154" spans="1:12" ht="15" customHeight="1" hidden="1" thickBot="1">
      <c r="A154" s="93">
        <f t="shared" si="11"/>
        <v>14</v>
      </c>
      <c r="I154" s="461">
        <v>3900</v>
      </c>
      <c r="J154" s="462">
        <f t="shared" si="12"/>
        <v>0.11336358364894868</v>
      </c>
      <c r="K154" s="461" t="s">
        <v>174</v>
      </c>
      <c r="L154" s="464"/>
    </row>
    <row r="155" spans="1:12" ht="15" customHeight="1" hidden="1" thickBot="1">
      <c r="A155" s="93">
        <f t="shared" si="11"/>
        <v>13</v>
      </c>
      <c r="I155" s="461">
        <v>4200</v>
      </c>
      <c r="J155" s="462">
        <f t="shared" si="12"/>
        <v>0.11273962648556876</v>
      </c>
      <c r="K155" s="461" t="s">
        <v>174</v>
      </c>
      <c r="L155" s="464"/>
    </row>
    <row r="156" spans="1:12" ht="15" customHeight="1" hidden="1" thickBot="1">
      <c r="A156" s="93">
        <f t="shared" si="11"/>
        <v>12</v>
      </c>
      <c r="I156" s="461">
        <v>4500</v>
      </c>
      <c r="J156" s="462">
        <f t="shared" si="12"/>
        <v>0.11219886361063951</v>
      </c>
      <c r="K156" s="461" t="s">
        <v>174</v>
      </c>
      <c r="L156" s="464"/>
    </row>
    <row r="157" spans="1:12" ht="15" customHeight="1" hidden="1" thickBot="1">
      <c r="A157" s="93">
        <f t="shared" si="11"/>
        <v>11</v>
      </c>
      <c r="I157" s="461">
        <v>4800</v>
      </c>
      <c r="J157" s="462">
        <f t="shared" si="12"/>
        <v>0.1117256960950764</v>
      </c>
      <c r="K157" s="461" t="s">
        <v>174</v>
      </c>
      <c r="L157" s="464"/>
    </row>
    <row r="158" spans="1:12" ht="15" customHeight="1" hidden="1" thickBot="1">
      <c r="A158" s="93">
        <f t="shared" si="11"/>
        <v>10</v>
      </c>
      <c r="I158" s="461">
        <v>5100</v>
      </c>
      <c r="J158" s="462">
        <f t="shared" si="12"/>
        <v>0.11130819534605012</v>
      </c>
      <c r="K158" s="461" t="s">
        <v>174</v>
      </c>
      <c r="L158" s="464"/>
    </row>
    <row r="159" spans="1:12" ht="15" customHeight="1" hidden="1" thickBot="1">
      <c r="A159" s="93">
        <f t="shared" si="11"/>
        <v>9</v>
      </c>
      <c r="I159" s="461">
        <v>5400</v>
      </c>
      <c r="J159" s="462">
        <f t="shared" si="12"/>
        <v>0.1109370835691379</v>
      </c>
      <c r="K159" s="461" t="s">
        <v>174</v>
      </c>
      <c r="L159" s="464"/>
    </row>
    <row r="160" spans="1:12" ht="15" customHeight="1" hidden="1" thickBot="1">
      <c r="A160" s="93">
        <f t="shared" si="11"/>
        <v>8</v>
      </c>
      <c r="I160" s="461">
        <v>5700</v>
      </c>
      <c r="J160" s="462">
        <f t="shared" si="12"/>
        <v>0.11060503618979538</v>
      </c>
      <c r="K160" s="461" t="s">
        <v>174</v>
      </c>
      <c r="L160" s="464"/>
    </row>
    <row r="161" spans="1:12" ht="15" customHeight="1" hidden="1" thickBot="1">
      <c r="A161" s="93">
        <f t="shared" si="11"/>
        <v>7</v>
      </c>
      <c r="I161" s="461">
        <v>6000</v>
      </c>
      <c r="J161" s="462">
        <f t="shared" si="12"/>
        <v>0.11030619354838708</v>
      </c>
      <c r="K161" s="461" t="s">
        <v>174</v>
      </c>
      <c r="L161" s="464"/>
    </row>
    <row r="162" spans="1:12" ht="15" customHeight="1" hidden="1" thickBot="1">
      <c r="A162" s="93">
        <f t="shared" si="11"/>
        <v>6</v>
      </c>
      <c r="I162" s="461">
        <v>6300</v>
      </c>
      <c r="J162" s="462">
        <f t="shared" si="12"/>
        <v>0.11003581211092246</v>
      </c>
      <c r="K162" s="461" t="s">
        <v>174</v>
      </c>
      <c r="L162" s="464"/>
    </row>
    <row r="163" spans="1:12" ht="15" customHeight="1" hidden="1" thickBot="1">
      <c r="A163" s="93">
        <f t="shared" si="11"/>
        <v>5</v>
      </c>
      <c r="I163" s="461">
        <v>6600</v>
      </c>
      <c r="J163" s="462">
        <f t="shared" si="12"/>
        <v>0.10979001080413643</v>
      </c>
      <c r="K163" s="461" t="s">
        <v>174</v>
      </c>
      <c r="L163" s="464"/>
    </row>
    <row r="164" spans="1:12" ht="15" customHeight="1" hidden="1" thickBot="1">
      <c r="A164" s="93">
        <f t="shared" si="11"/>
        <v>4</v>
      </c>
      <c r="I164" s="461">
        <v>6900</v>
      </c>
      <c r="J164" s="462">
        <f t="shared" si="12"/>
        <v>0.10956558352402747</v>
      </c>
      <c r="K164" s="461" t="s">
        <v>174</v>
      </c>
      <c r="L164" s="464"/>
    </row>
    <row r="165" spans="1:12" ht="15" customHeight="1" hidden="1" thickBot="1">
      <c r="A165" s="93">
        <f t="shared" si="11"/>
        <v>3</v>
      </c>
      <c r="I165" s="461">
        <v>7200</v>
      </c>
      <c r="J165" s="462">
        <f t="shared" si="12"/>
        <v>0.1093598585172609</v>
      </c>
      <c r="K165" s="461" t="s">
        <v>174</v>
      </c>
      <c r="L165" s="464"/>
    </row>
    <row r="166" spans="1:12" ht="15" customHeight="1" hidden="1" thickBot="1">
      <c r="A166" s="93">
        <f t="shared" si="11"/>
        <v>2</v>
      </c>
      <c r="I166" s="461">
        <v>7500</v>
      </c>
      <c r="J166" s="462">
        <f t="shared" si="12"/>
        <v>0.10917059151103564</v>
      </c>
      <c r="K166" s="461" t="s">
        <v>174</v>
      </c>
      <c r="L166" s="464"/>
    </row>
    <row r="167" ht="15" customHeight="1" hidden="1" thickBot="1">
      <c r="A167" s="93">
        <f t="shared" si="11"/>
        <v>1</v>
      </c>
    </row>
    <row r="168" spans="1:28" ht="18.75" customHeight="1" thickBot="1">
      <c r="A168" s="93">
        <f t="shared" si="11"/>
        <v>16</v>
      </c>
      <c r="D168" s="365" t="s">
        <v>179</v>
      </c>
      <c r="H168" s="719" t="s">
        <v>743</v>
      </c>
      <c r="N168" s="363"/>
      <c r="O168" s="415"/>
      <c r="P168" s="415"/>
      <c r="Q168" s="415"/>
      <c r="R168" s="415"/>
      <c r="S168" s="415"/>
      <c r="T168" s="415"/>
      <c r="U168" s="415"/>
      <c r="V168" s="415"/>
      <c r="W168" s="415"/>
      <c r="X168" s="415"/>
      <c r="Y168" s="415"/>
      <c r="Z168" s="415"/>
      <c r="AA168" s="415"/>
      <c r="AB168" s="415"/>
    </row>
    <row r="169" spans="1:9" ht="15" customHeight="1" thickBot="1">
      <c r="A169" s="93">
        <f t="shared" si="11"/>
        <v>15</v>
      </c>
      <c r="E169" s="514" t="s">
        <v>180</v>
      </c>
      <c r="F169" s="514" t="s">
        <v>573</v>
      </c>
      <c r="G169" s="514"/>
      <c r="H169" s="514"/>
      <c r="I169" s="514" t="s">
        <v>744</v>
      </c>
    </row>
    <row r="170" spans="1:10" ht="15" customHeight="1" thickBot="1">
      <c r="A170" s="93">
        <f t="shared" si="11"/>
        <v>14</v>
      </c>
      <c r="E170"/>
      <c r="F170" s="577" t="s">
        <v>181</v>
      </c>
      <c r="G170" s="577"/>
      <c r="I170" s="577" t="s">
        <v>182</v>
      </c>
      <c r="J170" s="610" t="s">
        <v>183</v>
      </c>
    </row>
    <row r="171" spans="1:13" ht="15" customHeight="1" thickBot="1">
      <c r="A171" s="93">
        <f t="shared" si="11"/>
        <v>13</v>
      </c>
      <c r="E171" s="591" t="s">
        <v>184</v>
      </c>
      <c r="F171" s="591">
        <v>4</v>
      </c>
      <c r="G171" s="591"/>
      <c r="H171" s="591">
        <v>6</v>
      </c>
      <c r="I171" s="591">
        <v>6.7</v>
      </c>
      <c r="J171" s="592">
        <v>9</v>
      </c>
      <c r="L171" s="399"/>
      <c r="M171" s="415"/>
    </row>
    <row r="172" spans="1:13" ht="15" customHeight="1" thickBot="1">
      <c r="A172" s="93">
        <f t="shared" si="11"/>
        <v>12</v>
      </c>
      <c r="E172" s="514" t="s">
        <v>185</v>
      </c>
      <c r="F172" s="580">
        <f>10*1000/F171</f>
        <v>2500</v>
      </c>
      <c r="G172" s="580"/>
      <c r="H172" s="580">
        <f>10*1000/H171</f>
        <v>1666.6666666666667</v>
      </c>
      <c r="I172" s="580">
        <f>10*1000/I171</f>
        <v>1492.5373134328358</v>
      </c>
      <c r="J172" s="580">
        <f>10*1000/J171</f>
        <v>1111.111111111111</v>
      </c>
      <c r="L172" s="399"/>
      <c r="M172" s="415"/>
    </row>
    <row r="173" spans="1:13" ht="15" customHeight="1" thickBot="1">
      <c r="A173" s="93">
        <f t="shared" si="11"/>
        <v>11</v>
      </c>
      <c r="E173" s="594" t="s">
        <v>186</v>
      </c>
      <c r="F173" s="595">
        <f>F172/5</f>
        <v>500</v>
      </c>
      <c r="G173" s="595"/>
      <c r="H173" s="595">
        <f>H172/5</f>
        <v>333.33333333333337</v>
      </c>
      <c r="I173" s="595">
        <f>I172/5</f>
        <v>298.5074626865672</v>
      </c>
      <c r="J173" s="596">
        <f>J172/5</f>
        <v>222.22222222222223</v>
      </c>
      <c r="L173" s="399"/>
      <c r="M173" s="415"/>
    </row>
    <row r="174" spans="1:13" ht="15" customHeight="1" thickBot="1">
      <c r="A174" s="93">
        <f t="shared" si="11"/>
        <v>10</v>
      </c>
      <c r="E174" s="597" t="s">
        <v>188</v>
      </c>
      <c r="F174" s="598">
        <f>F172/10</f>
        <v>250</v>
      </c>
      <c r="G174" s="598"/>
      <c r="H174" s="598">
        <f>H172/10</f>
        <v>166.66666666666669</v>
      </c>
      <c r="I174" s="598">
        <f>I172/10</f>
        <v>149.2537313432836</v>
      </c>
      <c r="J174" s="599">
        <f>J172/10</f>
        <v>111.11111111111111</v>
      </c>
      <c r="L174" s="399" t="s">
        <v>187</v>
      </c>
      <c r="M174" s="415"/>
    </row>
    <row r="175" spans="1:13" ht="15" customHeight="1" thickBot="1">
      <c r="A175" s="93">
        <f t="shared" si="11"/>
        <v>9</v>
      </c>
      <c r="E175" s="597" t="s">
        <v>189</v>
      </c>
      <c r="F175" s="1025">
        <f>F172/15</f>
        <v>166.66666666666666</v>
      </c>
      <c r="G175" s="598"/>
      <c r="H175" s="598">
        <f>H172/15</f>
        <v>111.11111111111111</v>
      </c>
      <c r="I175" s="598">
        <f>I172/15</f>
        <v>99.50248756218906</v>
      </c>
      <c r="J175" s="599">
        <f>J172/15</f>
        <v>74.07407407407408</v>
      </c>
      <c r="L175" s="399" t="s">
        <v>712</v>
      </c>
      <c r="M175" s="415"/>
    </row>
    <row r="176" spans="1:13" ht="15" customHeight="1" thickBot="1">
      <c r="A176" s="93">
        <f t="shared" si="11"/>
        <v>8</v>
      </c>
      <c r="E176" s="597" t="s">
        <v>190</v>
      </c>
      <c r="F176" s="598">
        <f>F172/20</f>
        <v>125</v>
      </c>
      <c r="G176" s="598"/>
      <c r="H176" s="598">
        <f>H172/20</f>
        <v>83.33333333333334</v>
      </c>
      <c r="I176" s="598">
        <f>I172/20</f>
        <v>74.6268656716418</v>
      </c>
      <c r="J176" s="611">
        <f>J172/20</f>
        <v>55.55555555555556</v>
      </c>
      <c r="L176" s="399" t="s">
        <v>713</v>
      </c>
      <c r="M176" s="415"/>
    </row>
    <row r="177" spans="1:13" ht="15" customHeight="1" thickBot="1">
      <c r="A177" s="93">
        <f t="shared" si="11"/>
        <v>7</v>
      </c>
      <c r="E177" s="600" t="s">
        <v>191</v>
      </c>
      <c r="F177" s="568">
        <f>F172/30</f>
        <v>83.33333333333333</v>
      </c>
      <c r="G177" s="568"/>
      <c r="H177" s="568">
        <f>H172/30</f>
        <v>55.55555555555556</v>
      </c>
      <c r="I177" s="612">
        <f>I172/30</f>
        <v>49.75124378109453</v>
      </c>
      <c r="J177" s="601">
        <f>J172/30</f>
        <v>37.03703703703704</v>
      </c>
      <c r="L177" s="399"/>
      <c r="M177" s="415"/>
    </row>
    <row r="178" spans="1:13" ht="15" customHeight="1" thickBot="1">
      <c r="A178" s="93">
        <f t="shared" si="11"/>
        <v>6</v>
      </c>
      <c r="E178" s="594" t="s">
        <v>192</v>
      </c>
      <c r="F178" s="602">
        <f aca="true" t="shared" si="13" ref="F178:J180">F173/1.6093</f>
        <v>310.6940905983968</v>
      </c>
      <c r="G178" s="602"/>
      <c r="H178" s="614">
        <f>H173/1.6093</f>
        <v>207.1293937322646</v>
      </c>
      <c r="I178" s="602">
        <f t="shared" si="13"/>
        <v>185.48900931247573</v>
      </c>
      <c r="J178" s="603">
        <f t="shared" si="13"/>
        <v>138.08626248817637</v>
      </c>
      <c r="L178" s="399"/>
      <c r="M178" s="415"/>
    </row>
    <row r="179" spans="1:13" ht="15" customHeight="1" thickBot="1">
      <c r="A179" s="93">
        <f t="shared" si="11"/>
        <v>5</v>
      </c>
      <c r="E179" s="597" t="s">
        <v>193</v>
      </c>
      <c r="F179" s="613">
        <f t="shared" si="13"/>
        <v>155.3470452991984</v>
      </c>
      <c r="G179" s="604"/>
      <c r="H179" s="604">
        <f>H174/1.6093</f>
        <v>103.5646968661323</v>
      </c>
      <c r="I179" s="604">
        <f t="shared" si="13"/>
        <v>92.74450465623786</v>
      </c>
      <c r="J179" s="605">
        <f t="shared" si="13"/>
        <v>69.04313124408819</v>
      </c>
      <c r="L179" s="399"/>
      <c r="M179" s="415"/>
    </row>
    <row r="180" spans="1:13" ht="15" customHeight="1" thickBot="1">
      <c r="A180" s="93">
        <f t="shared" si="11"/>
        <v>4</v>
      </c>
      <c r="E180" s="597" t="s">
        <v>194</v>
      </c>
      <c r="F180" s="604">
        <f t="shared" si="13"/>
        <v>103.56469686613227</v>
      </c>
      <c r="G180" s="604"/>
      <c r="H180" s="604">
        <f>H175/1.6093</f>
        <v>69.04313124408819</v>
      </c>
      <c r="I180" s="604">
        <f t="shared" si="13"/>
        <v>61.82966977082524</v>
      </c>
      <c r="J180" s="605">
        <f t="shared" si="13"/>
        <v>46.028754162725456</v>
      </c>
      <c r="L180" s="399"/>
      <c r="M180" s="415"/>
    </row>
    <row r="181" spans="1:13" ht="15" customHeight="1" thickBot="1">
      <c r="A181" s="93">
        <f t="shared" si="11"/>
        <v>3</v>
      </c>
      <c r="E181" s="597" t="s">
        <v>195</v>
      </c>
      <c r="F181" s="604">
        <f aca="true" t="shared" si="14" ref="F181:J182">F176/1.6093</f>
        <v>77.6735226495992</v>
      </c>
      <c r="G181" s="604"/>
      <c r="H181" s="604">
        <f>H176/1.6093</f>
        <v>51.78234843306615</v>
      </c>
      <c r="I181" s="604">
        <f t="shared" si="14"/>
        <v>46.37225232811893</v>
      </c>
      <c r="J181" s="605">
        <f t="shared" si="14"/>
        <v>34.52156562204409</v>
      </c>
      <c r="L181" s="399"/>
      <c r="M181" s="415"/>
    </row>
    <row r="182" spans="1:13" ht="15" customHeight="1" thickBot="1">
      <c r="A182" s="93">
        <f t="shared" si="11"/>
        <v>2</v>
      </c>
      <c r="E182" s="600" t="s">
        <v>196</v>
      </c>
      <c r="F182" s="606">
        <f t="shared" si="14"/>
        <v>51.78234843306613</v>
      </c>
      <c r="G182" s="606"/>
      <c r="H182" s="606">
        <f>H177/1.6093</f>
        <v>34.52156562204409</v>
      </c>
      <c r="I182" s="606">
        <f t="shared" si="14"/>
        <v>30.91483488541262</v>
      </c>
      <c r="J182" s="607">
        <f t="shared" si="14"/>
        <v>23.014377081362728</v>
      </c>
      <c r="L182" s="399"/>
      <c r="M182" s="415"/>
    </row>
    <row r="183" ht="15" customHeight="1" thickBot="1">
      <c r="A183" s="93">
        <f t="shared" si="11"/>
        <v>1</v>
      </c>
    </row>
    <row r="184" spans="1:23" ht="18.75" customHeight="1" thickBot="1">
      <c r="A184" s="93">
        <f t="shared" si="11"/>
        <v>480</v>
      </c>
      <c r="D184" s="365" t="s">
        <v>881</v>
      </c>
      <c r="I184" s="363"/>
      <c r="J184" s="415"/>
      <c r="K184" s="415"/>
      <c r="L184" s="415"/>
      <c r="M184" s="415"/>
      <c r="N184" s="415"/>
      <c r="O184" s="415"/>
      <c r="P184" s="415"/>
      <c r="Q184" s="415"/>
      <c r="R184" s="415"/>
      <c r="S184" s="415"/>
      <c r="T184" s="415"/>
      <c r="U184" s="415"/>
      <c r="V184" s="415"/>
      <c r="W184" s="415"/>
    </row>
    <row r="185" spans="1:12" ht="15" customHeight="1" hidden="1" thickBot="1">
      <c r="A185" s="93">
        <f t="shared" si="11"/>
        <v>479</v>
      </c>
      <c r="E185" s="251" t="s">
        <v>24</v>
      </c>
      <c r="F185" s="252" t="s">
        <v>81</v>
      </c>
      <c r="G185" s="252" t="s">
        <v>82</v>
      </c>
      <c r="H185" s="252" t="s">
        <v>84</v>
      </c>
      <c r="L185" s="399"/>
    </row>
    <row r="186" spans="1:12" ht="15" customHeight="1" hidden="1" thickBot="1">
      <c r="A186" s="93">
        <f t="shared" si="11"/>
        <v>478</v>
      </c>
      <c r="E186" s="565" t="s">
        <v>86</v>
      </c>
      <c r="F186" s="566"/>
      <c r="G186" s="567"/>
      <c r="H186" s="254" t="s">
        <v>87</v>
      </c>
      <c r="L186" s="399"/>
    </row>
    <row r="187" spans="1:12" ht="15" customHeight="1" hidden="1" thickBot="1">
      <c r="A187" s="93">
        <f t="shared" si="11"/>
        <v>477</v>
      </c>
      <c r="E187" s="257"/>
      <c r="F187" s="258" t="s">
        <v>88</v>
      </c>
      <c r="G187" s="259"/>
      <c r="H187" s="260" t="s">
        <v>46</v>
      </c>
      <c r="L187" s="399"/>
    </row>
    <row r="188" spans="1:12" ht="15" customHeight="1" hidden="1" thickBot="1">
      <c r="A188" s="93">
        <f t="shared" si="11"/>
        <v>476</v>
      </c>
      <c r="E188" s="257" t="s">
        <v>89</v>
      </c>
      <c r="F188" s="258" t="s">
        <v>90</v>
      </c>
      <c r="G188" s="261" t="s">
        <v>91</v>
      </c>
      <c r="H188" s="262" t="s">
        <v>92</v>
      </c>
      <c r="L188" s="399"/>
    </row>
    <row r="189" spans="1:12" ht="15" customHeight="1" hidden="1" thickBot="1">
      <c r="A189" s="93">
        <f t="shared" si="11"/>
        <v>475</v>
      </c>
      <c r="E189" s="560" t="s">
        <v>93</v>
      </c>
      <c r="F189" s="562"/>
      <c r="G189" s="250"/>
      <c r="H189" s="250"/>
      <c r="L189" s="399"/>
    </row>
    <row r="190" spans="1:12" ht="15" customHeight="1" hidden="1" thickBot="1">
      <c r="A190" s="93">
        <f t="shared" si="11"/>
        <v>474</v>
      </c>
      <c r="D190" s="47"/>
      <c r="E190" s="48" t="s">
        <v>94</v>
      </c>
      <c r="F190" s="563">
        <f aca="true" t="shared" si="15" ref="F190:F195">100/(G190/3.785*1.6093)</f>
        <v>10.93932216665053</v>
      </c>
      <c r="G190" s="490">
        <v>21.5</v>
      </c>
      <c r="H190" s="555">
        <f>ROUND((Reference!$E$190/G190)*1000/1.6093,1)</f>
        <v>260.6</v>
      </c>
      <c r="I190" s="937" t="s">
        <v>411</v>
      </c>
      <c r="L190" s="399"/>
    </row>
    <row r="191" spans="1:12" ht="15" customHeight="1" hidden="1" thickBot="1">
      <c r="A191" s="93">
        <f t="shared" si="11"/>
        <v>473</v>
      </c>
      <c r="D191" s="47"/>
      <c r="E191" s="48" t="s">
        <v>95</v>
      </c>
      <c r="F191" s="563">
        <f t="shared" si="15"/>
        <v>13.674152708313162</v>
      </c>
      <c r="G191" s="490">
        <v>17.2</v>
      </c>
      <c r="H191" s="555">
        <f>ROUND((Reference!$E$190/G191)*1000/1.6093,1)</f>
        <v>325.7</v>
      </c>
      <c r="I191" s="937" t="s">
        <v>412</v>
      </c>
      <c r="L191" s="399"/>
    </row>
    <row r="192" spans="1:12" ht="15" customHeight="1" hidden="1" thickBot="1">
      <c r="A192" s="93">
        <f t="shared" si="11"/>
        <v>472</v>
      </c>
      <c r="D192" s="47"/>
      <c r="E192" s="48" t="s">
        <v>96</v>
      </c>
      <c r="F192" s="563">
        <f t="shared" si="15"/>
        <v>9.116101805542108</v>
      </c>
      <c r="G192" s="490">
        <f>1.2*G190</f>
        <v>25.8</v>
      </c>
      <c r="H192" s="555">
        <f>ROUND((Reference!$E$190/G192)*1000/1.6093,1)</f>
        <v>217.2</v>
      </c>
      <c r="I192" s="937" t="s">
        <v>413</v>
      </c>
      <c r="L192" s="399"/>
    </row>
    <row r="193" spans="1:12" ht="15" customHeight="1" hidden="1" thickBot="1">
      <c r="A193" s="93">
        <f t="shared" si="11"/>
        <v>471</v>
      </c>
      <c r="D193" s="47"/>
      <c r="E193" s="48" t="s">
        <v>97</v>
      </c>
      <c r="F193" s="563">
        <f t="shared" si="15"/>
        <v>11.643337949652794</v>
      </c>
      <c r="G193" s="490">
        <v>20.2</v>
      </c>
      <c r="H193" s="555">
        <f>ROUND((Reference!$E$190/G193)*1000/1.6093,1)</f>
        <v>277.4</v>
      </c>
      <c r="L193" s="399"/>
    </row>
    <row r="194" spans="1:12" ht="15" customHeight="1" hidden="1" thickBot="1">
      <c r="A194" s="93">
        <f t="shared" si="11"/>
        <v>470</v>
      </c>
      <c r="D194" s="47"/>
      <c r="E194" s="48" t="s">
        <v>98</v>
      </c>
      <c r="F194" s="563">
        <f t="shared" si="15"/>
        <v>14.608411589005367</v>
      </c>
      <c r="G194" s="490">
        <v>16.1</v>
      </c>
      <c r="H194" s="555">
        <f>ROUND((Reference!$E$190/G194)*1000/1.6093,1)</f>
        <v>348</v>
      </c>
      <c r="L194" s="399"/>
    </row>
    <row r="195" spans="1:12" ht="15" customHeight="1" hidden="1" thickBot="1">
      <c r="A195" s="93">
        <f t="shared" si="11"/>
        <v>469</v>
      </c>
      <c r="D195" s="47"/>
      <c r="E195" s="48" t="s">
        <v>99</v>
      </c>
      <c r="F195" s="563">
        <f t="shared" si="15"/>
        <v>9.702781624710662</v>
      </c>
      <c r="G195" s="490">
        <f>1.2*G193</f>
        <v>24.24</v>
      </c>
      <c r="H195" s="555">
        <f>ROUND((Reference!$E$190/G195)*1000/1.6093,1)</f>
        <v>231.1</v>
      </c>
      <c r="L195" s="399"/>
    </row>
    <row r="196" spans="1:12" ht="15" customHeight="1" hidden="1" thickBot="1">
      <c r="A196" s="93">
        <f t="shared" si="11"/>
        <v>468</v>
      </c>
      <c r="D196" s="47"/>
      <c r="E196" s="560" t="s">
        <v>100</v>
      </c>
      <c r="F196" s="562"/>
      <c r="G196" s="250"/>
      <c r="H196" s="250"/>
      <c r="I196" s="937" t="s">
        <v>414</v>
      </c>
      <c r="L196" s="399"/>
    </row>
    <row r="197" spans="1:12" ht="15" customHeight="1" hidden="1" thickBot="1">
      <c r="A197" s="93">
        <f t="shared" si="11"/>
        <v>467</v>
      </c>
      <c r="D197" s="47"/>
      <c r="E197" s="48" t="s">
        <v>101</v>
      </c>
      <c r="F197" s="563">
        <f aca="true" t="shared" si="16" ref="F197:F222">100/(G197/3.785*1.6093)</f>
        <v>4.199918331839044</v>
      </c>
      <c r="G197" s="49">
        <v>56</v>
      </c>
      <c r="H197" s="555">
        <f>ROUND((Reference!$E$190/G197)*1000/1.6093,1)</f>
        <v>100.1</v>
      </c>
      <c r="I197" s="937" t="s">
        <v>415</v>
      </c>
      <c r="L197" s="399"/>
    </row>
    <row r="198" spans="1:12" ht="15" customHeight="1" hidden="1" thickBot="1">
      <c r="A198" s="93">
        <f t="shared" si="11"/>
        <v>466</v>
      </c>
      <c r="D198" s="47"/>
      <c r="E198" s="48" t="s">
        <v>102</v>
      </c>
      <c r="F198" s="563">
        <f t="shared" si="16"/>
        <v>7.349857080718325</v>
      </c>
      <c r="G198" s="49">
        <v>32</v>
      </c>
      <c r="H198" s="555">
        <f>ROUND((Reference!$E$190/G198)*1000/1.6093,1)</f>
        <v>175.1</v>
      </c>
      <c r="I198" s="937" t="s">
        <v>416</v>
      </c>
      <c r="L198" s="399"/>
    </row>
    <row r="199" spans="1:12" ht="15" customHeight="1" hidden="1" thickBot="1">
      <c r="A199" s="93">
        <f aca="true" t="shared" si="17" ref="A199:A262">IF(ISTEXT(D200),1,1+A200)</f>
        <v>465</v>
      </c>
      <c r="D199" s="47"/>
      <c r="E199" s="48" t="s">
        <v>103</v>
      </c>
      <c r="F199" s="563">
        <f t="shared" si="16"/>
        <v>9.045977945499477</v>
      </c>
      <c r="G199" s="49">
        <v>26</v>
      </c>
      <c r="H199" s="555">
        <f>ROUND((Reference!$E$190/G199)*1000/1.6093,1)</f>
        <v>215.5</v>
      </c>
      <c r="I199" s="938" t="s">
        <v>417</v>
      </c>
      <c r="L199" s="399"/>
    </row>
    <row r="200" spans="1:12" ht="15" customHeight="1" hidden="1" thickBot="1">
      <c r="A200" s="93">
        <f t="shared" si="17"/>
        <v>464</v>
      </c>
      <c r="D200" s="47"/>
      <c r="E200" s="48" t="s">
        <v>104</v>
      </c>
      <c r="F200" s="563">
        <f t="shared" si="16"/>
        <v>7.839847552766213</v>
      </c>
      <c r="G200" s="49">
        <v>30</v>
      </c>
      <c r="H200" s="555">
        <f>ROUND((Reference!$E$190/G200)*1000/1.6093,1)</f>
        <v>186.8</v>
      </c>
      <c r="L200" s="399"/>
    </row>
    <row r="201" spans="1:12" ht="15" customHeight="1" hidden="1" thickBot="1">
      <c r="A201" s="93">
        <f t="shared" si="17"/>
        <v>463</v>
      </c>
      <c r="D201" s="47"/>
      <c r="E201" s="48" t="s">
        <v>105</v>
      </c>
      <c r="F201" s="563">
        <f t="shared" si="16"/>
        <v>10.690701208317565</v>
      </c>
      <c r="G201" s="49">
        <v>22</v>
      </c>
      <c r="H201" s="555">
        <f>ROUND((Reference!$E$190/G201)*1000/1.6093,1)</f>
        <v>254.7</v>
      </c>
      <c r="L201" s="399"/>
    </row>
    <row r="202" spans="1:12" ht="15" customHeight="1" hidden="1" thickBot="1">
      <c r="A202" s="93">
        <f t="shared" si="17"/>
        <v>462</v>
      </c>
      <c r="D202" s="47"/>
      <c r="E202" s="48" t="s">
        <v>106</v>
      </c>
      <c r="F202" s="563">
        <f t="shared" si="16"/>
        <v>9.407817063319456</v>
      </c>
      <c r="G202" s="49">
        <v>25</v>
      </c>
      <c r="H202" s="555">
        <f>ROUND((Reference!$E$190/G202)*1000/1.6093,1)</f>
        <v>224.1</v>
      </c>
      <c r="L202" s="399"/>
    </row>
    <row r="203" spans="1:12" ht="15" customHeight="1" hidden="1" thickBot="1">
      <c r="A203" s="93">
        <f t="shared" si="17"/>
        <v>461</v>
      </c>
      <c r="D203" s="47"/>
      <c r="E203" s="48" t="s">
        <v>107</v>
      </c>
      <c r="F203" s="563">
        <f t="shared" si="16"/>
        <v>13.066412587943688</v>
      </c>
      <c r="G203" s="49">
        <v>18</v>
      </c>
      <c r="H203" s="555">
        <f>ROUND((Reference!$E$190/G203)*1000/1.6093,1)</f>
        <v>311.3</v>
      </c>
      <c r="L203" s="399"/>
    </row>
    <row r="204" spans="1:12" ht="15" customHeight="1" hidden="1" thickBot="1">
      <c r="A204" s="93">
        <f t="shared" si="17"/>
        <v>460</v>
      </c>
      <c r="D204" s="47"/>
      <c r="E204" s="48" t="s">
        <v>108</v>
      </c>
      <c r="F204" s="563">
        <f t="shared" si="16"/>
        <v>8.710941725295793</v>
      </c>
      <c r="G204" s="49">
        <v>27</v>
      </c>
      <c r="H204" s="555">
        <f>ROUND((Reference!$E$190/G204)*1000/1.6093,1)</f>
        <v>207.5</v>
      </c>
      <c r="L204" s="399"/>
    </row>
    <row r="205" spans="1:12" ht="15" customHeight="1" hidden="1" thickBot="1">
      <c r="A205" s="93">
        <f t="shared" si="17"/>
        <v>459</v>
      </c>
      <c r="D205" s="47"/>
      <c r="E205" s="48" t="s">
        <v>109</v>
      </c>
      <c r="F205" s="563">
        <f t="shared" si="16"/>
        <v>11.759771329149318</v>
      </c>
      <c r="G205" s="49">
        <v>20</v>
      </c>
      <c r="H205" s="555">
        <f>ROUND((Reference!$E$190/G205)*1000/1.6093,1)</f>
        <v>280.1</v>
      </c>
      <c r="L205" s="399"/>
    </row>
    <row r="206" spans="1:12" ht="15" customHeight="1" hidden="1" thickBot="1">
      <c r="A206" s="93">
        <f t="shared" si="17"/>
        <v>458</v>
      </c>
      <c r="D206" s="47"/>
      <c r="E206" s="48" t="s">
        <v>110</v>
      </c>
      <c r="F206" s="563">
        <f t="shared" si="16"/>
        <v>9.799809440957768</v>
      </c>
      <c r="G206" s="49">
        <v>24</v>
      </c>
      <c r="H206" s="555">
        <f>ROUND((Reference!$E$190/G206)*1000/1.6093,1)</f>
        <v>233.5</v>
      </c>
      <c r="L206" s="399"/>
    </row>
    <row r="207" spans="1:12" ht="15" customHeight="1" hidden="1" thickBot="1">
      <c r="A207" s="93">
        <f t="shared" si="17"/>
        <v>457</v>
      </c>
      <c r="D207" s="47"/>
      <c r="E207" s="48" t="s">
        <v>111</v>
      </c>
      <c r="F207" s="563">
        <f t="shared" si="16"/>
        <v>13.066412587943688</v>
      </c>
      <c r="G207" s="49">
        <v>18</v>
      </c>
      <c r="H207" s="555">
        <f>ROUND((Reference!$E$190/G207)*1000/1.6093,1)</f>
        <v>311.3</v>
      </c>
      <c r="L207" s="399"/>
    </row>
    <row r="208" spans="1:12" ht="15" customHeight="1" hidden="1" thickBot="1">
      <c r="A208" s="93">
        <f t="shared" si="17"/>
        <v>456</v>
      </c>
      <c r="D208" s="47"/>
      <c r="E208" s="48" t="s">
        <v>112</v>
      </c>
      <c r="F208" s="563">
        <f t="shared" si="16"/>
        <v>13.066412587943688</v>
      </c>
      <c r="G208" s="49">
        <v>18</v>
      </c>
      <c r="H208" s="555">
        <f>ROUND((Reference!$E$190/G208)*1000/1.6093,1)</f>
        <v>311.3</v>
      </c>
      <c r="L208" s="399"/>
    </row>
    <row r="209" spans="1:12" ht="15" customHeight="1" hidden="1" thickBot="1">
      <c r="A209" s="93">
        <f t="shared" si="17"/>
        <v>455</v>
      </c>
      <c r="D209" s="47"/>
      <c r="E209" s="48" t="s">
        <v>113</v>
      </c>
      <c r="F209" s="563">
        <f t="shared" si="16"/>
        <v>16.799673327356174</v>
      </c>
      <c r="G209" s="49">
        <v>14</v>
      </c>
      <c r="H209" s="555">
        <f>ROUND((Reference!$E$190/G209)*1000/1.6093,1)</f>
        <v>400.2</v>
      </c>
      <c r="L209" s="399"/>
    </row>
    <row r="210" spans="1:12" ht="15" customHeight="1" hidden="1" thickBot="1">
      <c r="A210" s="93">
        <f t="shared" si="17"/>
        <v>454</v>
      </c>
      <c r="D210" s="47"/>
      <c r="E210" s="48" t="s">
        <v>114</v>
      </c>
      <c r="F210" s="563">
        <f t="shared" si="16"/>
        <v>10.690701208317565</v>
      </c>
      <c r="G210" s="49">
        <v>22</v>
      </c>
      <c r="H210" s="555">
        <f>ROUND((Reference!$E$190/G210)*1000/1.6093,1)</f>
        <v>254.7</v>
      </c>
      <c r="L210" s="399"/>
    </row>
    <row r="211" spans="1:12" ht="15" customHeight="1" hidden="1" thickBot="1">
      <c r="A211" s="93">
        <f t="shared" si="17"/>
        <v>453</v>
      </c>
      <c r="D211" s="47"/>
      <c r="E211" s="48" t="s">
        <v>115</v>
      </c>
      <c r="F211" s="563">
        <f t="shared" si="16"/>
        <v>13.835025093116847</v>
      </c>
      <c r="G211" s="49">
        <v>17</v>
      </c>
      <c r="H211" s="555">
        <f>ROUND((Reference!$E$190/G211)*1000/1.6093,1)</f>
        <v>329.6</v>
      </c>
      <c r="L211" s="399"/>
    </row>
    <row r="212" spans="1:12" ht="15" customHeight="1" hidden="1" thickBot="1">
      <c r="A212" s="93">
        <f t="shared" si="17"/>
        <v>452</v>
      </c>
      <c r="D212" s="47"/>
      <c r="E212" s="48" t="s">
        <v>116</v>
      </c>
      <c r="F212" s="563">
        <f t="shared" si="16"/>
        <v>13.066412587943688</v>
      </c>
      <c r="G212" s="49">
        <v>18</v>
      </c>
      <c r="H212" s="555">
        <f>ROUND((Reference!$E$190/G212)*1000/1.6093,1)</f>
        <v>311.3</v>
      </c>
      <c r="L212" s="399"/>
    </row>
    <row r="213" spans="1:12" ht="15" customHeight="1" hidden="1" thickBot="1">
      <c r="A213" s="93">
        <f t="shared" si="17"/>
        <v>451</v>
      </c>
      <c r="D213" s="47"/>
      <c r="E213" s="48" t="s">
        <v>117</v>
      </c>
      <c r="F213" s="563">
        <f t="shared" si="16"/>
        <v>15.679695105532426</v>
      </c>
      <c r="G213" s="49">
        <v>15</v>
      </c>
      <c r="H213" s="555">
        <f>ROUND((Reference!$E$190/G213)*1000/1.6093,1)</f>
        <v>373.5</v>
      </c>
      <c r="L213" s="399"/>
    </row>
    <row r="214" spans="1:12" ht="15" customHeight="1" hidden="1" thickBot="1">
      <c r="A214" s="93">
        <f t="shared" si="17"/>
        <v>450</v>
      </c>
      <c r="D214" s="47"/>
      <c r="E214" s="48" t="s">
        <v>118</v>
      </c>
      <c r="F214" s="563">
        <f t="shared" si="16"/>
        <v>11.199782218237448</v>
      </c>
      <c r="G214" s="49">
        <v>21</v>
      </c>
      <c r="H214" s="50">
        <v>266</v>
      </c>
      <c r="I214" s="399" t="s">
        <v>419</v>
      </c>
      <c r="L214" s="399"/>
    </row>
    <row r="215" spans="1:12" ht="15" customHeight="1" hidden="1" thickBot="1">
      <c r="A215" s="93">
        <f t="shared" si="17"/>
        <v>449</v>
      </c>
      <c r="D215" s="47"/>
      <c r="E215" s="48" t="s">
        <v>121</v>
      </c>
      <c r="F215" s="563">
        <f t="shared" si="16"/>
        <v>9.799809440957768</v>
      </c>
      <c r="G215" s="49">
        <v>24</v>
      </c>
      <c r="H215" s="50">
        <v>233</v>
      </c>
      <c r="I215" s="399" t="s">
        <v>418</v>
      </c>
      <c r="L215" s="399"/>
    </row>
    <row r="216" spans="1:12" ht="15" customHeight="1" hidden="1" thickBot="1">
      <c r="A216" s="93">
        <f t="shared" si="17"/>
        <v>448</v>
      </c>
      <c r="D216" s="47"/>
      <c r="E216" s="48" t="s">
        <v>122</v>
      </c>
      <c r="F216" s="563">
        <f t="shared" si="16"/>
        <v>16.799673327356174</v>
      </c>
      <c r="G216" s="49">
        <v>14</v>
      </c>
      <c r="H216" s="50">
        <v>400</v>
      </c>
      <c r="I216" s="399" t="s">
        <v>420</v>
      </c>
      <c r="L216" s="399"/>
    </row>
    <row r="217" spans="1:12" ht="15" customHeight="1" hidden="1" thickBot="1">
      <c r="A217" s="93">
        <f t="shared" si="17"/>
        <v>447</v>
      </c>
      <c r="D217" s="47"/>
      <c r="E217" s="48" t="s">
        <v>123</v>
      </c>
      <c r="F217" s="563">
        <f t="shared" si="16"/>
        <v>39.19923776383107</v>
      </c>
      <c r="G217" s="49">
        <v>6</v>
      </c>
      <c r="H217" s="50">
        <v>1020</v>
      </c>
      <c r="L217" s="399"/>
    </row>
    <row r="218" spans="1:12" ht="15" customHeight="1" hidden="1" thickBot="1">
      <c r="A218" s="93">
        <f t="shared" si="17"/>
        <v>446</v>
      </c>
      <c r="D218" s="47"/>
      <c r="E218" s="48" t="s">
        <v>124</v>
      </c>
      <c r="F218" s="563">
        <f t="shared" si="16"/>
        <v>15.679695105532426</v>
      </c>
      <c r="G218" s="49">
        <v>15</v>
      </c>
      <c r="H218" s="50">
        <v>330</v>
      </c>
      <c r="L218" s="399"/>
    </row>
    <row r="219" spans="1:12" ht="15" customHeight="1" hidden="1" thickBot="1">
      <c r="A219" s="93">
        <f t="shared" si="17"/>
        <v>445</v>
      </c>
      <c r="D219" s="47"/>
      <c r="E219" s="48" t="s">
        <v>125</v>
      </c>
      <c r="F219" s="563">
        <f t="shared" si="16"/>
        <v>33.59934665471235</v>
      </c>
      <c r="G219" s="49">
        <v>7</v>
      </c>
      <c r="H219" s="50">
        <v>1010</v>
      </c>
      <c r="L219" s="399"/>
    </row>
    <row r="220" spans="1:12" ht="15" customHeight="1" hidden="1" thickBot="1">
      <c r="A220" s="93">
        <f t="shared" si="17"/>
        <v>444</v>
      </c>
      <c r="D220" s="47"/>
      <c r="E220" s="48" t="s">
        <v>126</v>
      </c>
      <c r="F220" s="563">
        <f t="shared" si="16"/>
        <v>3.9199237763831065</v>
      </c>
      <c r="G220" s="49">
        <v>60</v>
      </c>
      <c r="H220" s="555">
        <f>ROUND((Reference!$E$190/G220)*1000/1.6093,1)</f>
        <v>93.4</v>
      </c>
      <c r="I220" s="399" t="s">
        <v>421</v>
      </c>
      <c r="L220" s="399"/>
    </row>
    <row r="221" spans="1:12" ht="15" customHeight="1" hidden="1" thickBot="1">
      <c r="A221" s="93">
        <f t="shared" si="17"/>
        <v>443</v>
      </c>
      <c r="D221" s="47"/>
      <c r="E221" s="48" t="s">
        <v>423</v>
      </c>
      <c r="F221" s="563"/>
      <c r="G221" s="49"/>
      <c r="H221" s="555">
        <v>219</v>
      </c>
      <c r="I221" s="399" t="s">
        <v>422</v>
      </c>
      <c r="L221" s="399"/>
    </row>
    <row r="222" spans="1:12" ht="15" customHeight="1" hidden="1" thickBot="1">
      <c r="A222" s="93">
        <f t="shared" si="17"/>
        <v>442</v>
      </c>
      <c r="D222" s="47"/>
      <c r="E222" s="48" t="s">
        <v>127</v>
      </c>
      <c r="F222" s="563">
        <f t="shared" si="16"/>
        <v>35.10379501238603</v>
      </c>
      <c r="G222" s="49">
        <v>6.7</v>
      </c>
      <c r="H222" s="50">
        <v>1034.6113216926615</v>
      </c>
      <c r="L222" s="399"/>
    </row>
    <row r="223" spans="1:12" ht="15" customHeight="1" hidden="1" thickBot="1">
      <c r="A223" s="93">
        <f t="shared" si="17"/>
        <v>441</v>
      </c>
      <c r="L223" s="399"/>
    </row>
    <row r="224" spans="1:12" ht="15" customHeight="1" hidden="1" thickBot="1" thickTop="1">
      <c r="A224" s="93">
        <f t="shared" si="17"/>
        <v>440</v>
      </c>
      <c r="E224" s="221" t="s">
        <v>883</v>
      </c>
      <c r="F224" s="561"/>
      <c r="G224" s="140"/>
      <c r="H224" s="141"/>
      <c r="L224" s="399"/>
    </row>
    <row r="225" spans="1:12" ht="15" customHeight="1" hidden="1" thickBot="1">
      <c r="A225" s="93">
        <f t="shared" si="17"/>
        <v>439</v>
      </c>
      <c r="D225" s="47"/>
      <c r="E225" s="570" t="s">
        <v>128</v>
      </c>
      <c r="F225" s="563">
        <f>100/(G225/3.785*1.6093)</f>
        <v>11.759771329149318</v>
      </c>
      <c r="G225" s="52">
        <v>20</v>
      </c>
      <c r="H225" s="555">
        <f aca="true" t="shared" si="18" ref="H225:H230">LOOKUP(G225,get_gasgperkm)</f>
        <v>280.1412726029952</v>
      </c>
      <c r="L225" s="399"/>
    </row>
    <row r="226" spans="1:12" ht="15" customHeight="1" hidden="1" thickBot="1">
      <c r="A226" s="93">
        <f t="shared" si="17"/>
        <v>438</v>
      </c>
      <c r="D226" s="47"/>
      <c r="E226" s="570" t="s">
        <v>128</v>
      </c>
      <c r="F226" s="563">
        <f>100/(G226/3.785*1.6093)</f>
        <v>23.519542658298636</v>
      </c>
      <c r="G226" s="52">
        <v>10</v>
      </c>
      <c r="H226" s="555">
        <f t="shared" si="18"/>
        <v>560.2825452059903</v>
      </c>
      <c r="L226" s="399"/>
    </row>
    <row r="227" spans="1:12" ht="15" customHeight="1" hidden="1" thickBot="1">
      <c r="A227" s="93">
        <f t="shared" si="17"/>
        <v>437</v>
      </c>
      <c r="D227" s="47"/>
      <c r="E227" s="570" t="s">
        <v>129</v>
      </c>
      <c r="F227" s="563">
        <f>100/(G227/3.785*1.6093)</f>
        <v>23.519542658298636</v>
      </c>
      <c r="G227" s="52">
        <v>10</v>
      </c>
      <c r="H227" s="555">
        <f t="shared" si="18"/>
        <v>560.2825452059903</v>
      </c>
      <c r="L227" s="399"/>
    </row>
    <row r="228" spans="1:12" ht="15" customHeight="1" hidden="1" thickBot="1">
      <c r="A228" s="93">
        <f t="shared" si="17"/>
        <v>436</v>
      </c>
      <c r="D228" s="47"/>
      <c r="E228" s="570" t="s">
        <v>128</v>
      </c>
      <c r="F228" s="564">
        <v>10</v>
      </c>
      <c r="G228" s="51">
        <f>1/(F228/3.785/100*1.6093)</f>
        <v>23.51954265829864</v>
      </c>
      <c r="H228" s="555">
        <f t="shared" si="18"/>
        <v>243.60110661130014</v>
      </c>
      <c r="L228" s="399"/>
    </row>
    <row r="229" spans="1:12" ht="15" customHeight="1" hidden="1" thickBot="1">
      <c r="A229" s="93">
        <f t="shared" si="17"/>
        <v>435</v>
      </c>
      <c r="D229" s="47"/>
      <c r="E229" s="570" t="s">
        <v>128</v>
      </c>
      <c r="F229" s="564">
        <v>10</v>
      </c>
      <c r="G229" s="51">
        <f>1/(F229/3.785/100*1.6093)</f>
        <v>23.51954265829864</v>
      </c>
      <c r="H229" s="555">
        <f t="shared" si="18"/>
        <v>243.60110661130014</v>
      </c>
      <c r="L229" s="399"/>
    </row>
    <row r="230" spans="1:12" ht="15" customHeight="1" hidden="1" thickBot="1">
      <c r="A230" s="93">
        <f t="shared" si="17"/>
        <v>434</v>
      </c>
      <c r="D230" s="47"/>
      <c r="E230" s="570" t="s">
        <v>129</v>
      </c>
      <c r="F230" s="564">
        <v>10</v>
      </c>
      <c r="G230" s="51">
        <f>1/(F230/3.785/100*1.6093)</f>
        <v>23.51954265829864</v>
      </c>
      <c r="H230" s="555">
        <f t="shared" si="18"/>
        <v>243.60110661130014</v>
      </c>
      <c r="L230" s="399"/>
    </row>
    <row r="231" spans="1:12" ht="15" customHeight="1" hidden="1" thickBot="1">
      <c r="A231" s="93">
        <f t="shared" si="17"/>
        <v>433</v>
      </c>
      <c r="L231" s="399"/>
    </row>
    <row r="232" spans="1:12" ht="15" customHeight="1" hidden="1" thickBot="1">
      <c r="A232" s="93">
        <f t="shared" si="17"/>
        <v>432</v>
      </c>
      <c r="L232" s="399"/>
    </row>
    <row r="233" spans="1:12" ht="15" customHeight="1" hidden="1" thickBot="1">
      <c r="A233" s="93">
        <f t="shared" si="17"/>
        <v>431</v>
      </c>
      <c r="L233" s="399"/>
    </row>
    <row r="234" spans="1:12" ht="15" customHeight="1" hidden="1" thickBot="1">
      <c r="A234" s="93">
        <f t="shared" si="17"/>
        <v>430</v>
      </c>
      <c r="I234" s="437"/>
      <c r="L234" s="399"/>
    </row>
    <row r="235" spans="1:12" ht="15" customHeight="1" hidden="1" thickBot="1">
      <c r="A235" s="93">
        <f t="shared" si="17"/>
        <v>429</v>
      </c>
      <c r="I235" s="437"/>
      <c r="L235" s="399"/>
    </row>
    <row r="236" spans="1:12" ht="15" customHeight="1" hidden="1" thickBot="1">
      <c r="A236" s="93">
        <f t="shared" si="17"/>
        <v>428</v>
      </c>
      <c r="I236" s="437"/>
      <c r="L236" s="399"/>
    </row>
    <row r="237" ht="15" customHeight="1" hidden="1" thickBot="1">
      <c r="A237" s="93">
        <f t="shared" si="17"/>
        <v>427</v>
      </c>
    </row>
    <row r="238" ht="15" customHeight="1" hidden="1" thickBot="1">
      <c r="A238" s="93">
        <f t="shared" si="17"/>
        <v>426</v>
      </c>
    </row>
    <row r="239" ht="15" customHeight="1" hidden="1" thickBot="1">
      <c r="A239" s="93">
        <f t="shared" si="17"/>
        <v>425</v>
      </c>
    </row>
    <row r="240" ht="15" customHeight="1" hidden="1" thickBot="1">
      <c r="A240" s="93">
        <f t="shared" si="17"/>
        <v>424</v>
      </c>
    </row>
    <row r="241" ht="15" customHeight="1" hidden="1" thickBot="1">
      <c r="A241" s="93">
        <f t="shared" si="17"/>
        <v>423</v>
      </c>
    </row>
    <row r="242" ht="15" customHeight="1" hidden="1" thickBot="1">
      <c r="A242" s="93">
        <f t="shared" si="17"/>
        <v>422</v>
      </c>
    </row>
    <row r="243" ht="15" customHeight="1" hidden="1" thickBot="1">
      <c r="A243" s="93">
        <f t="shared" si="17"/>
        <v>421</v>
      </c>
    </row>
    <row r="244" ht="15" customHeight="1" hidden="1" thickBot="1">
      <c r="A244" s="93">
        <f t="shared" si="17"/>
        <v>420</v>
      </c>
    </row>
    <row r="245" ht="15" customHeight="1" hidden="1" thickBot="1">
      <c r="A245" s="93">
        <f t="shared" si="17"/>
        <v>419</v>
      </c>
    </row>
    <row r="246" ht="15" customHeight="1" hidden="1" thickBot="1">
      <c r="A246" s="93">
        <f t="shared" si="17"/>
        <v>418</v>
      </c>
    </row>
    <row r="247" ht="15" customHeight="1" hidden="1" thickBot="1">
      <c r="A247" s="93">
        <f t="shared" si="17"/>
        <v>417</v>
      </c>
    </row>
    <row r="248" ht="15" customHeight="1" hidden="1" thickBot="1">
      <c r="A248" s="93">
        <f t="shared" si="17"/>
        <v>416</v>
      </c>
    </row>
    <row r="249" ht="15" customHeight="1" hidden="1" thickBot="1">
      <c r="A249" s="93">
        <f t="shared" si="17"/>
        <v>415</v>
      </c>
    </row>
    <row r="250" ht="15" customHeight="1" hidden="1" thickBot="1">
      <c r="A250" s="93">
        <f t="shared" si="17"/>
        <v>414</v>
      </c>
    </row>
    <row r="251" ht="15" customHeight="1" hidden="1" thickBot="1">
      <c r="A251" s="93">
        <f t="shared" si="17"/>
        <v>413</v>
      </c>
    </row>
    <row r="252" ht="15" customHeight="1" hidden="1" thickBot="1">
      <c r="A252" s="93">
        <f t="shared" si="17"/>
        <v>412</v>
      </c>
    </row>
    <row r="253" ht="15" customHeight="1" hidden="1" thickBot="1">
      <c r="A253" s="93">
        <f t="shared" si="17"/>
        <v>411</v>
      </c>
    </row>
    <row r="254" ht="15" customHeight="1" hidden="1" thickBot="1">
      <c r="A254" s="93">
        <f t="shared" si="17"/>
        <v>410</v>
      </c>
    </row>
    <row r="255" ht="15" customHeight="1" hidden="1" thickBot="1">
      <c r="A255" s="93">
        <f t="shared" si="17"/>
        <v>409</v>
      </c>
    </row>
    <row r="256" ht="15" customHeight="1" hidden="1" thickBot="1">
      <c r="A256" s="93">
        <f t="shared" si="17"/>
        <v>408</v>
      </c>
    </row>
    <row r="257" ht="15" customHeight="1" hidden="1" thickBot="1">
      <c r="A257" s="93">
        <f t="shared" si="17"/>
        <v>407</v>
      </c>
    </row>
    <row r="258" ht="15" customHeight="1" hidden="1" thickBot="1">
      <c r="A258" s="93">
        <f t="shared" si="17"/>
        <v>406</v>
      </c>
    </row>
    <row r="259" ht="15" customHeight="1" hidden="1" thickBot="1">
      <c r="A259" s="93">
        <f t="shared" si="17"/>
        <v>405</v>
      </c>
    </row>
    <row r="260" ht="15" customHeight="1" hidden="1" thickBot="1">
      <c r="A260" s="93">
        <f t="shared" si="17"/>
        <v>404</v>
      </c>
    </row>
    <row r="261" ht="15" customHeight="1" hidden="1" thickBot="1">
      <c r="A261" s="93">
        <f t="shared" si="17"/>
        <v>403</v>
      </c>
    </row>
    <row r="262" ht="15" customHeight="1" hidden="1" thickBot="1">
      <c r="A262" s="93">
        <f t="shared" si="17"/>
        <v>402</v>
      </c>
    </row>
    <row r="263" ht="15" customHeight="1" hidden="1" thickBot="1">
      <c r="A263" s="93">
        <f aca="true" t="shared" si="19" ref="A263:A326">IF(ISTEXT(D264),1,1+A264)</f>
        <v>401</v>
      </c>
    </row>
    <row r="264" ht="15" customHeight="1" hidden="1" thickBot="1">
      <c r="A264" s="93">
        <f t="shared" si="19"/>
        <v>400</v>
      </c>
    </row>
    <row r="265" ht="15" customHeight="1" hidden="1" thickBot="1">
      <c r="A265" s="93">
        <f t="shared" si="19"/>
        <v>399</v>
      </c>
    </row>
    <row r="266" ht="15" customHeight="1" hidden="1" thickBot="1">
      <c r="A266" s="93">
        <f t="shared" si="19"/>
        <v>398</v>
      </c>
    </row>
    <row r="267" ht="15" customHeight="1" hidden="1" thickBot="1">
      <c r="A267" s="93">
        <f t="shared" si="19"/>
        <v>397</v>
      </c>
    </row>
    <row r="268" ht="15" customHeight="1" hidden="1" thickBot="1">
      <c r="A268" s="93">
        <f t="shared" si="19"/>
        <v>396</v>
      </c>
    </row>
    <row r="269" ht="15" customHeight="1" hidden="1" thickBot="1">
      <c r="A269" s="93">
        <f t="shared" si="19"/>
        <v>395</v>
      </c>
    </row>
    <row r="270" ht="15" customHeight="1" hidden="1" thickBot="1">
      <c r="A270" s="93">
        <f t="shared" si="19"/>
        <v>394</v>
      </c>
    </row>
    <row r="271" ht="15" customHeight="1" hidden="1" thickBot="1">
      <c r="A271" s="93">
        <f t="shared" si="19"/>
        <v>393</v>
      </c>
    </row>
    <row r="272" ht="15" customHeight="1" hidden="1" thickBot="1">
      <c r="A272" s="93">
        <f t="shared" si="19"/>
        <v>392</v>
      </c>
    </row>
    <row r="273" ht="15" customHeight="1" hidden="1" thickBot="1">
      <c r="A273" s="93">
        <f t="shared" si="19"/>
        <v>391</v>
      </c>
    </row>
    <row r="274" ht="15" customHeight="1" hidden="1" thickBot="1">
      <c r="A274" s="93">
        <f t="shared" si="19"/>
        <v>390</v>
      </c>
    </row>
    <row r="275" ht="15" customHeight="1" hidden="1" thickBot="1">
      <c r="A275" s="93">
        <f t="shared" si="19"/>
        <v>389</v>
      </c>
    </row>
    <row r="276" ht="15" customHeight="1" hidden="1" thickBot="1">
      <c r="A276" s="93">
        <f t="shared" si="19"/>
        <v>388</v>
      </c>
    </row>
    <row r="277" ht="15" customHeight="1" hidden="1" thickBot="1">
      <c r="A277" s="93">
        <f t="shared" si="19"/>
        <v>387</v>
      </c>
    </row>
    <row r="278" ht="15" customHeight="1" hidden="1" thickBot="1">
      <c r="A278" s="93">
        <f t="shared" si="19"/>
        <v>386</v>
      </c>
    </row>
    <row r="279" ht="15" customHeight="1" hidden="1" thickBot="1">
      <c r="A279" s="93">
        <f t="shared" si="19"/>
        <v>385</v>
      </c>
    </row>
    <row r="280" ht="15" customHeight="1" hidden="1" thickBot="1">
      <c r="A280" s="93">
        <f t="shared" si="19"/>
        <v>384</v>
      </c>
    </row>
    <row r="281" ht="15" customHeight="1" hidden="1" thickBot="1">
      <c r="A281" s="93">
        <f t="shared" si="19"/>
        <v>383</v>
      </c>
    </row>
    <row r="282" ht="15" customHeight="1" hidden="1" thickBot="1">
      <c r="A282" s="93">
        <f t="shared" si="19"/>
        <v>382</v>
      </c>
    </row>
    <row r="283" ht="15" customHeight="1" hidden="1" thickBot="1">
      <c r="A283" s="93">
        <f t="shared" si="19"/>
        <v>381</v>
      </c>
    </row>
    <row r="284" ht="15" customHeight="1" hidden="1" thickBot="1">
      <c r="A284" s="93">
        <f t="shared" si="19"/>
        <v>380</v>
      </c>
    </row>
    <row r="285" ht="15" customHeight="1" hidden="1" thickBot="1">
      <c r="A285" s="93">
        <f t="shared" si="19"/>
        <v>379</v>
      </c>
    </row>
    <row r="286" ht="15" customHeight="1" hidden="1" thickBot="1">
      <c r="A286" s="93">
        <f t="shared" si="19"/>
        <v>378</v>
      </c>
    </row>
    <row r="287" ht="15" customHeight="1" hidden="1" thickBot="1">
      <c r="A287" s="93">
        <f t="shared" si="19"/>
        <v>377</v>
      </c>
    </row>
    <row r="288" ht="15" customHeight="1" hidden="1" thickBot="1">
      <c r="A288" s="93">
        <f t="shared" si="19"/>
        <v>376</v>
      </c>
    </row>
    <row r="289" ht="15" customHeight="1" hidden="1" thickBot="1">
      <c r="A289" s="93">
        <f t="shared" si="19"/>
        <v>375</v>
      </c>
    </row>
    <row r="290" ht="15" customHeight="1" hidden="1" thickBot="1">
      <c r="A290" s="93">
        <f t="shared" si="19"/>
        <v>374</v>
      </c>
    </row>
    <row r="291" ht="15" customHeight="1" hidden="1" thickBot="1">
      <c r="A291" s="93">
        <f t="shared" si="19"/>
        <v>373</v>
      </c>
    </row>
    <row r="292" ht="15" customHeight="1" hidden="1" thickBot="1">
      <c r="A292" s="93">
        <f t="shared" si="19"/>
        <v>372</v>
      </c>
    </row>
    <row r="293" ht="15" customHeight="1" hidden="1" thickBot="1">
      <c r="A293" s="93">
        <f t="shared" si="19"/>
        <v>371</v>
      </c>
    </row>
    <row r="294" ht="15" customHeight="1" hidden="1" thickBot="1">
      <c r="A294" s="93">
        <f t="shared" si="19"/>
        <v>370</v>
      </c>
    </row>
    <row r="295" ht="15" customHeight="1" hidden="1" thickBot="1">
      <c r="A295" s="93">
        <f t="shared" si="19"/>
        <v>369</v>
      </c>
    </row>
    <row r="296" ht="15" customHeight="1" hidden="1" thickBot="1">
      <c r="A296" s="93">
        <f t="shared" si="19"/>
        <v>368</v>
      </c>
    </row>
    <row r="297" ht="15" customHeight="1" hidden="1" thickBot="1">
      <c r="A297" s="93">
        <f t="shared" si="19"/>
        <v>367</v>
      </c>
    </row>
    <row r="298" ht="15" customHeight="1" hidden="1" thickBot="1">
      <c r="A298" s="93">
        <f t="shared" si="19"/>
        <v>366</v>
      </c>
    </row>
    <row r="299" ht="15" customHeight="1" hidden="1" thickBot="1">
      <c r="A299" s="93">
        <f t="shared" si="19"/>
        <v>365</v>
      </c>
    </row>
    <row r="300" ht="15" customHeight="1" hidden="1" thickBot="1">
      <c r="A300" s="93">
        <f t="shared" si="19"/>
        <v>364</v>
      </c>
    </row>
    <row r="301" ht="15" customHeight="1" hidden="1" thickBot="1">
      <c r="A301" s="93">
        <f t="shared" si="19"/>
        <v>363</v>
      </c>
    </row>
    <row r="302" ht="15" customHeight="1" hidden="1" thickBot="1">
      <c r="A302" s="93">
        <f t="shared" si="19"/>
        <v>362</v>
      </c>
    </row>
    <row r="303" ht="15" customHeight="1" hidden="1" thickBot="1">
      <c r="A303" s="93">
        <f t="shared" si="19"/>
        <v>361</v>
      </c>
    </row>
    <row r="304" ht="15" customHeight="1" hidden="1" thickBot="1">
      <c r="A304" s="93">
        <f t="shared" si="19"/>
        <v>360</v>
      </c>
    </row>
    <row r="305" ht="15" customHeight="1" hidden="1" thickBot="1">
      <c r="A305" s="93">
        <f t="shared" si="19"/>
        <v>359</v>
      </c>
    </row>
    <row r="306" ht="15" customHeight="1" hidden="1" thickBot="1">
      <c r="A306" s="93">
        <f t="shared" si="19"/>
        <v>358</v>
      </c>
    </row>
    <row r="307" ht="15" customHeight="1" hidden="1" thickBot="1">
      <c r="A307" s="93">
        <f t="shared" si="19"/>
        <v>357</v>
      </c>
    </row>
    <row r="308" ht="15" customHeight="1" hidden="1" thickBot="1">
      <c r="A308" s="93">
        <f t="shared" si="19"/>
        <v>356</v>
      </c>
    </row>
    <row r="309" ht="15" customHeight="1" hidden="1" thickBot="1">
      <c r="A309" s="93">
        <f t="shared" si="19"/>
        <v>355</v>
      </c>
    </row>
    <row r="310" ht="15" customHeight="1" hidden="1" thickBot="1">
      <c r="A310" s="93">
        <f t="shared" si="19"/>
        <v>354</v>
      </c>
    </row>
    <row r="311" ht="15" customHeight="1" hidden="1" thickBot="1">
      <c r="A311" s="93">
        <f t="shared" si="19"/>
        <v>353</v>
      </c>
    </row>
    <row r="312" ht="15" customHeight="1" hidden="1" thickBot="1">
      <c r="A312" s="93">
        <f t="shared" si="19"/>
        <v>352</v>
      </c>
    </row>
    <row r="313" ht="15" customHeight="1" hidden="1" thickBot="1">
      <c r="A313" s="93">
        <f t="shared" si="19"/>
        <v>351</v>
      </c>
    </row>
    <row r="314" ht="15" customHeight="1" hidden="1" thickBot="1">
      <c r="A314" s="93">
        <f t="shared" si="19"/>
        <v>350</v>
      </c>
    </row>
    <row r="315" ht="15" customHeight="1" hidden="1" thickBot="1">
      <c r="A315" s="93">
        <f t="shared" si="19"/>
        <v>349</v>
      </c>
    </row>
    <row r="316" ht="15" customHeight="1" hidden="1" thickBot="1">
      <c r="A316" s="93">
        <f t="shared" si="19"/>
        <v>348</v>
      </c>
    </row>
    <row r="317" ht="15" customHeight="1" hidden="1" thickBot="1">
      <c r="A317" s="93">
        <f t="shared" si="19"/>
        <v>347</v>
      </c>
    </row>
    <row r="318" ht="15" customHeight="1" hidden="1" thickBot="1">
      <c r="A318" s="93">
        <f t="shared" si="19"/>
        <v>346</v>
      </c>
    </row>
    <row r="319" ht="15" customHeight="1" hidden="1" thickBot="1">
      <c r="A319" s="93">
        <f t="shared" si="19"/>
        <v>345</v>
      </c>
    </row>
    <row r="320" ht="15" customHeight="1" hidden="1" thickBot="1">
      <c r="A320" s="93">
        <f t="shared" si="19"/>
        <v>344</v>
      </c>
    </row>
    <row r="321" ht="15" customHeight="1" hidden="1" thickBot="1">
      <c r="A321" s="93">
        <f t="shared" si="19"/>
        <v>343</v>
      </c>
    </row>
    <row r="322" ht="15" customHeight="1" hidden="1" thickBot="1">
      <c r="A322" s="93">
        <f t="shared" si="19"/>
        <v>342</v>
      </c>
    </row>
    <row r="323" ht="15" customHeight="1" hidden="1" thickBot="1">
      <c r="A323" s="93">
        <f t="shared" si="19"/>
        <v>341</v>
      </c>
    </row>
    <row r="324" ht="15" customHeight="1" hidden="1" thickBot="1">
      <c r="A324" s="93">
        <f t="shared" si="19"/>
        <v>340</v>
      </c>
    </row>
    <row r="325" ht="15" customHeight="1" hidden="1" thickBot="1">
      <c r="A325" s="93">
        <f t="shared" si="19"/>
        <v>339</v>
      </c>
    </row>
    <row r="326" ht="15" customHeight="1" hidden="1" thickBot="1">
      <c r="A326" s="93">
        <f t="shared" si="19"/>
        <v>338</v>
      </c>
    </row>
    <row r="327" ht="15" customHeight="1" hidden="1" thickBot="1">
      <c r="A327" s="93">
        <f aca="true" t="shared" si="20" ref="A327:A390">IF(ISTEXT(D328),1,1+A328)</f>
        <v>337</v>
      </c>
    </row>
    <row r="328" ht="15" customHeight="1" hidden="1" thickBot="1">
      <c r="A328" s="93">
        <f t="shared" si="20"/>
        <v>336</v>
      </c>
    </row>
    <row r="329" ht="15" customHeight="1" hidden="1" thickBot="1">
      <c r="A329" s="93">
        <f t="shared" si="20"/>
        <v>335</v>
      </c>
    </row>
    <row r="330" ht="15" customHeight="1" hidden="1" thickBot="1">
      <c r="A330" s="93">
        <f t="shared" si="20"/>
        <v>334</v>
      </c>
    </row>
    <row r="331" ht="15" customHeight="1" hidden="1" thickBot="1">
      <c r="A331" s="93">
        <f t="shared" si="20"/>
        <v>333</v>
      </c>
    </row>
    <row r="332" ht="15" customHeight="1" hidden="1" thickBot="1">
      <c r="A332" s="93">
        <f t="shared" si="20"/>
        <v>332</v>
      </c>
    </row>
    <row r="333" ht="15" customHeight="1" hidden="1" thickBot="1">
      <c r="A333" s="93">
        <f t="shared" si="20"/>
        <v>331</v>
      </c>
    </row>
    <row r="334" ht="15" customHeight="1" hidden="1" thickBot="1">
      <c r="A334" s="93">
        <f t="shared" si="20"/>
        <v>330</v>
      </c>
    </row>
    <row r="335" ht="15" customHeight="1" hidden="1" thickBot="1">
      <c r="A335" s="93">
        <f t="shared" si="20"/>
        <v>329</v>
      </c>
    </row>
    <row r="336" ht="15" customHeight="1" hidden="1" thickBot="1">
      <c r="A336" s="93">
        <f t="shared" si="20"/>
        <v>328</v>
      </c>
    </row>
    <row r="337" ht="15" customHeight="1" hidden="1" thickBot="1">
      <c r="A337" s="93">
        <f t="shared" si="20"/>
        <v>327</v>
      </c>
    </row>
    <row r="338" ht="15" customHeight="1" hidden="1" thickBot="1">
      <c r="A338" s="93">
        <f t="shared" si="20"/>
        <v>326</v>
      </c>
    </row>
    <row r="339" ht="15" customHeight="1" hidden="1" thickBot="1">
      <c r="A339" s="93">
        <f t="shared" si="20"/>
        <v>325</v>
      </c>
    </row>
    <row r="340" ht="15" customHeight="1" hidden="1" thickBot="1">
      <c r="A340" s="93">
        <f t="shared" si="20"/>
        <v>324</v>
      </c>
    </row>
    <row r="341" ht="15" customHeight="1" hidden="1" thickBot="1">
      <c r="A341" s="93">
        <f t="shared" si="20"/>
        <v>323</v>
      </c>
    </row>
    <row r="342" ht="15" customHeight="1" hidden="1" thickBot="1">
      <c r="A342" s="93">
        <f t="shared" si="20"/>
        <v>322</v>
      </c>
    </row>
    <row r="343" ht="15" customHeight="1" hidden="1" thickBot="1">
      <c r="A343" s="93">
        <f t="shared" si="20"/>
        <v>321</v>
      </c>
    </row>
    <row r="344" ht="15" customHeight="1" hidden="1" thickBot="1">
      <c r="A344" s="93">
        <f t="shared" si="20"/>
        <v>320</v>
      </c>
    </row>
    <row r="345" ht="15" customHeight="1" hidden="1" thickBot="1">
      <c r="A345" s="93">
        <f t="shared" si="20"/>
        <v>319</v>
      </c>
    </row>
    <row r="346" ht="15" customHeight="1" hidden="1" thickBot="1">
      <c r="A346" s="93">
        <f t="shared" si="20"/>
        <v>318</v>
      </c>
    </row>
    <row r="347" ht="15" customHeight="1" hidden="1" thickBot="1">
      <c r="A347" s="93">
        <f t="shared" si="20"/>
        <v>317</v>
      </c>
    </row>
    <row r="348" ht="15" customHeight="1" hidden="1" thickBot="1">
      <c r="A348" s="93">
        <f t="shared" si="20"/>
        <v>316</v>
      </c>
    </row>
    <row r="349" ht="15" customHeight="1" hidden="1" thickBot="1">
      <c r="A349" s="93">
        <f t="shared" si="20"/>
        <v>315</v>
      </c>
    </row>
    <row r="350" ht="15" customHeight="1" hidden="1" thickBot="1">
      <c r="A350" s="93">
        <f t="shared" si="20"/>
        <v>314</v>
      </c>
    </row>
    <row r="351" ht="15" customHeight="1" hidden="1" thickBot="1">
      <c r="A351" s="93">
        <f t="shared" si="20"/>
        <v>313</v>
      </c>
    </row>
    <row r="352" ht="15" customHeight="1" hidden="1" thickBot="1">
      <c r="A352" s="93">
        <f t="shared" si="20"/>
        <v>312</v>
      </c>
    </row>
    <row r="353" ht="15" customHeight="1" hidden="1" thickBot="1">
      <c r="A353" s="93">
        <f t="shared" si="20"/>
        <v>311</v>
      </c>
    </row>
    <row r="354" ht="15" customHeight="1" hidden="1" thickBot="1">
      <c r="A354" s="93">
        <f t="shared" si="20"/>
        <v>310</v>
      </c>
    </row>
    <row r="355" ht="15" customHeight="1" hidden="1" thickBot="1">
      <c r="A355" s="93">
        <f t="shared" si="20"/>
        <v>309</v>
      </c>
    </row>
    <row r="356" ht="15" customHeight="1" hidden="1" thickBot="1">
      <c r="A356" s="93">
        <f t="shared" si="20"/>
        <v>308</v>
      </c>
    </row>
    <row r="357" ht="15" customHeight="1" hidden="1" thickBot="1">
      <c r="A357" s="93">
        <f t="shared" si="20"/>
        <v>307</v>
      </c>
    </row>
    <row r="358" ht="15" customHeight="1" hidden="1" thickBot="1">
      <c r="A358" s="93">
        <f t="shared" si="20"/>
        <v>306</v>
      </c>
    </row>
    <row r="359" ht="15" customHeight="1" hidden="1" thickBot="1">
      <c r="A359" s="93">
        <f t="shared" si="20"/>
        <v>305</v>
      </c>
    </row>
    <row r="360" ht="15" customHeight="1" hidden="1" thickBot="1">
      <c r="A360" s="93">
        <f t="shared" si="20"/>
        <v>304</v>
      </c>
    </row>
    <row r="361" ht="15" customHeight="1" hidden="1" thickBot="1">
      <c r="A361" s="93">
        <f t="shared" si="20"/>
        <v>303</v>
      </c>
    </row>
    <row r="362" ht="15" customHeight="1" hidden="1" thickBot="1">
      <c r="A362" s="93">
        <f t="shared" si="20"/>
        <v>302</v>
      </c>
    </row>
    <row r="363" ht="15" customHeight="1" hidden="1" thickBot="1">
      <c r="A363" s="93">
        <f t="shared" si="20"/>
        <v>301</v>
      </c>
    </row>
    <row r="364" ht="15" customHeight="1" hidden="1" thickBot="1">
      <c r="A364" s="93">
        <f t="shared" si="20"/>
        <v>300</v>
      </c>
    </row>
    <row r="365" ht="15" customHeight="1" hidden="1" thickBot="1">
      <c r="A365" s="93">
        <f t="shared" si="20"/>
        <v>299</v>
      </c>
    </row>
    <row r="366" ht="15" customHeight="1" hidden="1" thickBot="1">
      <c r="A366" s="93">
        <f t="shared" si="20"/>
        <v>298</v>
      </c>
    </row>
    <row r="367" ht="15" customHeight="1" hidden="1" thickBot="1">
      <c r="A367" s="93">
        <f t="shared" si="20"/>
        <v>297</v>
      </c>
    </row>
    <row r="368" ht="15" customHeight="1" hidden="1" thickBot="1">
      <c r="A368" s="93">
        <f t="shared" si="20"/>
        <v>296</v>
      </c>
    </row>
    <row r="369" ht="15" customHeight="1" hidden="1" thickBot="1">
      <c r="A369" s="93">
        <f t="shared" si="20"/>
        <v>295</v>
      </c>
    </row>
    <row r="370" ht="15" customHeight="1" hidden="1" thickBot="1">
      <c r="A370" s="93">
        <f t="shared" si="20"/>
        <v>294</v>
      </c>
    </row>
    <row r="371" ht="15" customHeight="1" hidden="1" thickBot="1">
      <c r="A371" s="93">
        <f t="shared" si="20"/>
        <v>293</v>
      </c>
    </row>
    <row r="372" ht="15" customHeight="1" hidden="1" thickBot="1">
      <c r="A372" s="93">
        <f t="shared" si="20"/>
        <v>292</v>
      </c>
    </row>
    <row r="373" ht="15" customHeight="1" hidden="1" thickBot="1">
      <c r="A373" s="93">
        <f t="shared" si="20"/>
        <v>291</v>
      </c>
    </row>
    <row r="374" ht="15" customHeight="1" hidden="1" thickBot="1">
      <c r="A374" s="93">
        <f t="shared" si="20"/>
        <v>290</v>
      </c>
    </row>
    <row r="375" ht="15" customHeight="1" hidden="1" thickBot="1">
      <c r="A375" s="93">
        <f t="shared" si="20"/>
        <v>289</v>
      </c>
    </row>
    <row r="376" ht="15" customHeight="1" hidden="1" thickBot="1">
      <c r="A376" s="93">
        <f t="shared" si="20"/>
        <v>288</v>
      </c>
    </row>
    <row r="377" ht="15" customHeight="1" hidden="1" thickBot="1">
      <c r="A377" s="93">
        <f t="shared" si="20"/>
        <v>287</v>
      </c>
    </row>
    <row r="378" ht="15" customHeight="1" hidden="1" thickBot="1">
      <c r="A378" s="93">
        <f t="shared" si="20"/>
        <v>286</v>
      </c>
    </row>
    <row r="379" ht="15" customHeight="1" hidden="1" thickBot="1">
      <c r="A379" s="93">
        <f t="shared" si="20"/>
        <v>285</v>
      </c>
    </row>
    <row r="380" ht="15" customHeight="1" hidden="1" thickBot="1">
      <c r="A380" s="93">
        <f t="shared" si="20"/>
        <v>284</v>
      </c>
    </row>
    <row r="381" ht="15" customHeight="1" hidden="1" thickBot="1">
      <c r="A381" s="93">
        <f t="shared" si="20"/>
        <v>283</v>
      </c>
    </row>
    <row r="382" ht="15" customHeight="1" hidden="1" thickBot="1">
      <c r="A382" s="93">
        <f t="shared" si="20"/>
        <v>282</v>
      </c>
    </row>
    <row r="383" ht="15" customHeight="1" hidden="1" thickBot="1">
      <c r="A383" s="93">
        <f t="shared" si="20"/>
        <v>281</v>
      </c>
    </row>
    <row r="384" ht="15" customHeight="1" hidden="1" thickBot="1">
      <c r="A384" s="93">
        <f t="shared" si="20"/>
        <v>280</v>
      </c>
    </row>
    <row r="385" ht="15" customHeight="1" hidden="1" thickBot="1">
      <c r="A385" s="93">
        <f t="shared" si="20"/>
        <v>279</v>
      </c>
    </row>
    <row r="386" ht="15" customHeight="1" hidden="1" thickBot="1">
      <c r="A386" s="93">
        <f t="shared" si="20"/>
        <v>278</v>
      </c>
    </row>
    <row r="387" ht="15" customHeight="1" hidden="1" thickBot="1">
      <c r="A387" s="93">
        <f t="shared" si="20"/>
        <v>277</v>
      </c>
    </row>
    <row r="388" ht="15" customHeight="1" hidden="1" thickBot="1">
      <c r="A388" s="93">
        <f t="shared" si="20"/>
        <v>276</v>
      </c>
    </row>
    <row r="389" ht="15" customHeight="1" hidden="1" thickBot="1">
      <c r="A389" s="93">
        <f t="shared" si="20"/>
        <v>275</v>
      </c>
    </row>
    <row r="390" ht="15" customHeight="1" hidden="1" thickBot="1">
      <c r="A390" s="93">
        <f t="shared" si="20"/>
        <v>274</v>
      </c>
    </row>
    <row r="391" ht="15" customHeight="1" hidden="1" thickBot="1">
      <c r="A391" s="93">
        <f aca="true" t="shared" si="21" ref="A391:A454">IF(ISTEXT(D392),1,1+A392)</f>
        <v>273</v>
      </c>
    </row>
    <row r="392" ht="15" customHeight="1" hidden="1" thickBot="1">
      <c r="A392" s="93">
        <f t="shared" si="21"/>
        <v>272</v>
      </c>
    </row>
    <row r="393" ht="15" customHeight="1" hidden="1" thickBot="1">
      <c r="A393" s="93">
        <f t="shared" si="21"/>
        <v>271</v>
      </c>
    </row>
    <row r="394" ht="15" customHeight="1" hidden="1" thickBot="1">
      <c r="A394" s="93">
        <f t="shared" si="21"/>
        <v>270</v>
      </c>
    </row>
    <row r="395" ht="15" customHeight="1" hidden="1" thickBot="1">
      <c r="A395" s="93">
        <f t="shared" si="21"/>
        <v>269</v>
      </c>
    </row>
    <row r="396" ht="15" customHeight="1" hidden="1" thickBot="1">
      <c r="A396" s="93">
        <f t="shared" si="21"/>
        <v>268</v>
      </c>
    </row>
    <row r="397" ht="15" customHeight="1" hidden="1" thickBot="1">
      <c r="A397" s="93">
        <f t="shared" si="21"/>
        <v>267</v>
      </c>
    </row>
    <row r="398" ht="15" customHeight="1" hidden="1" thickBot="1">
      <c r="A398" s="93">
        <f t="shared" si="21"/>
        <v>266</v>
      </c>
    </row>
    <row r="399" ht="15" customHeight="1" hidden="1" thickBot="1">
      <c r="A399" s="93">
        <f t="shared" si="21"/>
        <v>265</v>
      </c>
    </row>
    <row r="400" ht="15" customHeight="1" hidden="1" thickBot="1">
      <c r="A400" s="93">
        <f t="shared" si="21"/>
        <v>264</v>
      </c>
    </row>
    <row r="401" ht="15" customHeight="1" hidden="1" thickBot="1">
      <c r="A401" s="93">
        <f t="shared" si="21"/>
        <v>263</v>
      </c>
    </row>
    <row r="402" ht="15" customHeight="1" hidden="1" thickBot="1">
      <c r="A402" s="93">
        <f t="shared" si="21"/>
        <v>262</v>
      </c>
    </row>
    <row r="403" ht="15" customHeight="1" hidden="1" thickBot="1">
      <c r="A403" s="93">
        <f t="shared" si="21"/>
        <v>261</v>
      </c>
    </row>
    <row r="404" ht="15" customHeight="1" hidden="1" thickBot="1">
      <c r="A404" s="93">
        <f t="shared" si="21"/>
        <v>260</v>
      </c>
    </row>
    <row r="405" ht="15" customHeight="1" hidden="1" thickBot="1">
      <c r="A405" s="93">
        <f t="shared" si="21"/>
        <v>259</v>
      </c>
    </row>
    <row r="406" ht="15" customHeight="1" hidden="1" thickBot="1">
      <c r="A406" s="93">
        <f t="shared" si="21"/>
        <v>258</v>
      </c>
    </row>
    <row r="407" ht="15" customHeight="1" hidden="1" thickBot="1">
      <c r="A407" s="93">
        <f t="shared" si="21"/>
        <v>257</v>
      </c>
    </row>
    <row r="408" ht="15" customHeight="1" hidden="1" thickBot="1">
      <c r="A408" s="93">
        <f t="shared" si="21"/>
        <v>256</v>
      </c>
    </row>
    <row r="409" ht="15" customHeight="1" hidden="1" thickBot="1">
      <c r="A409" s="93">
        <f t="shared" si="21"/>
        <v>255</v>
      </c>
    </row>
    <row r="410" ht="15" customHeight="1" hidden="1" thickBot="1">
      <c r="A410" s="93">
        <f t="shared" si="21"/>
        <v>254</v>
      </c>
    </row>
    <row r="411" ht="15" customHeight="1" hidden="1" thickBot="1">
      <c r="A411" s="93">
        <f t="shared" si="21"/>
        <v>253</v>
      </c>
    </row>
    <row r="412" ht="15" customHeight="1" hidden="1" thickBot="1">
      <c r="A412" s="93">
        <f t="shared" si="21"/>
        <v>252</v>
      </c>
    </row>
    <row r="413" ht="15" customHeight="1" hidden="1" thickBot="1">
      <c r="A413" s="93">
        <f t="shared" si="21"/>
        <v>251</v>
      </c>
    </row>
    <row r="414" ht="15" customHeight="1" hidden="1" thickBot="1">
      <c r="A414" s="93">
        <f t="shared" si="21"/>
        <v>250</v>
      </c>
    </row>
    <row r="415" ht="15" customHeight="1" hidden="1" thickBot="1">
      <c r="A415" s="93">
        <f t="shared" si="21"/>
        <v>249</v>
      </c>
    </row>
    <row r="416" ht="15" customHeight="1" hidden="1" thickBot="1">
      <c r="A416" s="93">
        <f t="shared" si="21"/>
        <v>248</v>
      </c>
    </row>
    <row r="417" ht="15" customHeight="1" hidden="1" thickBot="1">
      <c r="A417" s="93">
        <f t="shared" si="21"/>
        <v>247</v>
      </c>
    </row>
    <row r="418" ht="15" customHeight="1" hidden="1" thickBot="1">
      <c r="A418" s="93">
        <f t="shared" si="21"/>
        <v>246</v>
      </c>
    </row>
    <row r="419" ht="15" customHeight="1" hidden="1" thickBot="1">
      <c r="A419" s="93">
        <f t="shared" si="21"/>
        <v>245</v>
      </c>
    </row>
    <row r="420" ht="15" customHeight="1" hidden="1" thickBot="1">
      <c r="A420" s="93">
        <f t="shared" si="21"/>
        <v>244</v>
      </c>
    </row>
    <row r="421" ht="15" customHeight="1" hidden="1" thickBot="1">
      <c r="A421" s="93">
        <f t="shared" si="21"/>
        <v>243</v>
      </c>
    </row>
    <row r="422" ht="15" customHeight="1" hidden="1" thickBot="1">
      <c r="A422" s="93">
        <f t="shared" si="21"/>
        <v>242</v>
      </c>
    </row>
    <row r="423" ht="15" customHeight="1" hidden="1" thickBot="1">
      <c r="A423" s="93">
        <f t="shared" si="21"/>
        <v>241</v>
      </c>
    </row>
    <row r="424" ht="15" customHeight="1" hidden="1" thickBot="1">
      <c r="A424" s="93">
        <f t="shared" si="21"/>
        <v>240</v>
      </c>
    </row>
    <row r="425" ht="15" customHeight="1" hidden="1" thickBot="1">
      <c r="A425" s="93">
        <f t="shared" si="21"/>
        <v>239</v>
      </c>
    </row>
    <row r="426" ht="15" customHeight="1" hidden="1" thickBot="1">
      <c r="A426" s="93">
        <f t="shared" si="21"/>
        <v>238</v>
      </c>
    </row>
    <row r="427" ht="15" customHeight="1" hidden="1" thickBot="1">
      <c r="A427" s="93">
        <f t="shared" si="21"/>
        <v>237</v>
      </c>
    </row>
    <row r="428" ht="15" customHeight="1" hidden="1" thickBot="1">
      <c r="A428" s="93">
        <f t="shared" si="21"/>
        <v>236</v>
      </c>
    </row>
    <row r="429" ht="15" customHeight="1" hidden="1" thickBot="1">
      <c r="A429" s="93">
        <f t="shared" si="21"/>
        <v>235</v>
      </c>
    </row>
    <row r="430" ht="15" customHeight="1" hidden="1" thickBot="1">
      <c r="A430" s="93">
        <f t="shared" si="21"/>
        <v>234</v>
      </c>
    </row>
    <row r="431" ht="15" customHeight="1" hidden="1" thickBot="1">
      <c r="A431" s="93">
        <f t="shared" si="21"/>
        <v>233</v>
      </c>
    </row>
    <row r="432" ht="15" customHeight="1" hidden="1" thickBot="1">
      <c r="A432" s="93">
        <f t="shared" si="21"/>
        <v>232</v>
      </c>
    </row>
    <row r="433" ht="15" customHeight="1" hidden="1" thickBot="1">
      <c r="A433" s="93">
        <f t="shared" si="21"/>
        <v>231</v>
      </c>
    </row>
    <row r="434" ht="15" customHeight="1" hidden="1" thickBot="1">
      <c r="A434" s="93">
        <f t="shared" si="21"/>
        <v>230</v>
      </c>
    </row>
    <row r="435" ht="15" customHeight="1" hidden="1" thickBot="1">
      <c r="A435" s="93">
        <f t="shared" si="21"/>
        <v>229</v>
      </c>
    </row>
    <row r="436" ht="15" customHeight="1" hidden="1" thickBot="1">
      <c r="A436" s="93">
        <f t="shared" si="21"/>
        <v>228</v>
      </c>
    </row>
    <row r="437" ht="15" customHeight="1" hidden="1" thickBot="1">
      <c r="A437" s="93">
        <f t="shared" si="21"/>
        <v>227</v>
      </c>
    </row>
    <row r="438" ht="15" customHeight="1" hidden="1" thickBot="1">
      <c r="A438" s="93">
        <f t="shared" si="21"/>
        <v>226</v>
      </c>
    </row>
    <row r="439" ht="15" customHeight="1" hidden="1" thickBot="1">
      <c r="A439" s="93">
        <f t="shared" si="21"/>
        <v>225</v>
      </c>
    </row>
    <row r="440" ht="15" customHeight="1" hidden="1" thickBot="1">
      <c r="A440" s="93">
        <f t="shared" si="21"/>
        <v>224</v>
      </c>
    </row>
    <row r="441" ht="15" customHeight="1" hidden="1" thickBot="1">
      <c r="A441" s="93">
        <f t="shared" si="21"/>
        <v>223</v>
      </c>
    </row>
    <row r="442" ht="15" customHeight="1" hidden="1" thickBot="1">
      <c r="A442" s="93">
        <f t="shared" si="21"/>
        <v>222</v>
      </c>
    </row>
    <row r="443" ht="15" customHeight="1" hidden="1" thickBot="1">
      <c r="A443" s="93">
        <f t="shared" si="21"/>
        <v>221</v>
      </c>
    </row>
    <row r="444" ht="15" customHeight="1" hidden="1" thickBot="1">
      <c r="A444" s="93">
        <f t="shared" si="21"/>
        <v>220</v>
      </c>
    </row>
    <row r="445" ht="15" customHeight="1" hidden="1" thickBot="1">
      <c r="A445" s="93">
        <f t="shared" si="21"/>
        <v>219</v>
      </c>
    </row>
    <row r="446" ht="15" customHeight="1" hidden="1" thickBot="1">
      <c r="A446" s="93">
        <f t="shared" si="21"/>
        <v>218</v>
      </c>
    </row>
    <row r="447" ht="15" customHeight="1" hidden="1" thickBot="1">
      <c r="A447" s="93">
        <f t="shared" si="21"/>
        <v>217</v>
      </c>
    </row>
    <row r="448" ht="15" customHeight="1" hidden="1" thickBot="1">
      <c r="A448" s="93">
        <f t="shared" si="21"/>
        <v>216</v>
      </c>
    </row>
    <row r="449" ht="15" customHeight="1" hidden="1" thickBot="1">
      <c r="A449" s="93">
        <f t="shared" si="21"/>
        <v>215</v>
      </c>
    </row>
    <row r="450" ht="15" customHeight="1" hidden="1" thickBot="1">
      <c r="A450" s="93">
        <f t="shared" si="21"/>
        <v>214</v>
      </c>
    </row>
    <row r="451" ht="15" customHeight="1" hidden="1" thickBot="1">
      <c r="A451" s="93">
        <f t="shared" si="21"/>
        <v>213</v>
      </c>
    </row>
    <row r="452" ht="15" customHeight="1" hidden="1" thickBot="1">
      <c r="A452" s="93">
        <f t="shared" si="21"/>
        <v>212</v>
      </c>
    </row>
    <row r="453" ht="15" customHeight="1" hidden="1" thickBot="1">
      <c r="A453" s="93">
        <f t="shared" si="21"/>
        <v>211</v>
      </c>
    </row>
    <row r="454" ht="15" customHeight="1" hidden="1" thickBot="1">
      <c r="A454" s="93">
        <f t="shared" si="21"/>
        <v>210</v>
      </c>
    </row>
    <row r="455" ht="15" customHeight="1" hidden="1" thickBot="1">
      <c r="A455" s="93">
        <f aca="true" t="shared" si="22" ref="A455:A518">IF(ISTEXT(D456),1,1+A456)</f>
        <v>209</v>
      </c>
    </row>
    <row r="456" ht="15" customHeight="1" hidden="1" thickBot="1">
      <c r="A456" s="93">
        <f t="shared" si="22"/>
        <v>208</v>
      </c>
    </row>
    <row r="457" ht="15" customHeight="1" hidden="1" thickBot="1">
      <c r="A457" s="93">
        <f t="shared" si="22"/>
        <v>207</v>
      </c>
    </row>
    <row r="458" ht="15" customHeight="1" hidden="1" thickBot="1">
      <c r="A458" s="93">
        <f t="shared" si="22"/>
        <v>206</v>
      </c>
    </row>
    <row r="459" ht="15" customHeight="1" hidden="1" thickBot="1">
      <c r="A459" s="93">
        <f t="shared" si="22"/>
        <v>205</v>
      </c>
    </row>
    <row r="460" ht="15" customHeight="1" hidden="1" thickBot="1">
      <c r="A460" s="93">
        <f t="shared" si="22"/>
        <v>204</v>
      </c>
    </row>
    <row r="461" ht="15" customHeight="1" hidden="1" thickBot="1">
      <c r="A461" s="93">
        <f t="shared" si="22"/>
        <v>203</v>
      </c>
    </row>
    <row r="462" ht="15" customHeight="1" hidden="1" thickBot="1">
      <c r="A462" s="93">
        <f t="shared" si="22"/>
        <v>202</v>
      </c>
    </row>
    <row r="463" ht="15" customHeight="1" hidden="1" thickBot="1">
      <c r="A463" s="93">
        <f t="shared" si="22"/>
        <v>201</v>
      </c>
    </row>
    <row r="464" ht="15" customHeight="1" hidden="1" thickBot="1">
      <c r="A464" s="93">
        <f t="shared" si="22"/>
        <v>200</v>
      </c>
    </row>
    <row r="465" ht="15" customHeight="1" hidden="1" thickBot="1">
      <c r="A465" s="93">
        <f t="shared" si="22"/>
        <v>199</v>
      </c>
    </row>
    <row r="466" ht="15" customHeight="1" hidden="1" thickBot="1">
      <c r="A466" s="93">
        <f t="shared" si="22"/>
        <v>198</v>
      </c>
    </row>
    <row r="467" ht="15" customHeight="1" hidden="1" thickBot="1">
      <c r="A467" s="93">
        <f t="shared" si="22"/>
        <v>197</v>
      </c>
    </row>
    <row r="468" ht="15" customHeight="1" hidden="1" thickBot="1">
      <c r="A468" s="93">
        <f t="shared" si="22"/>
        <v>196</v>
      </c>
    </row>
    <row r="469" ht="15" customHeight="1" hidden="1" thickBot="1">
      <c r="A469" s="93">
        <f t="shared" si="22"/>
        <v>195</v>
      </c>
    </row>
    <row r="470" ht="15" customHeight="1" hidden="1" thickBot="1">
      <c r="A470" s="93">
        <f t="shared" si="22"/>
        <v>194</v>
      </c>
    </row>
    <row r="471" ht="15" customHeight="1" hidden="1" thickBot="1">
      <c r="A471" s="93">
        <f t="shared" si="22"/>
        <v>193</v>
      </c>
    </row>
    <row r="472" ht="15" customHeight="1" hidden="1" thickBot="1">
      <c r="A472" s="93">
        <f t="shared" si="22"/>
        <v>192</v>
      </c>
    </row>
    <row r="473" ht="15" customHeight="1" hidden="1" thickBot="1">
      <c r="A473" s="93">
        <f t="shared" si="22"/>
        <v>191</v>
      </c>
    </row>
    <row r="474" ht="15" customHeight="1" hidden="1" thickBot="1">
      <c r="A474" s="93">
        <f t="shared" si="22"/>
        <v>190</v>
      </c>
    </row>
    <row r="475" ht="15" customHeight="1" hidden="1" thickBot="1">
      <c r="A475" s="93">
        <f t="shared" si="22"/>
        <v>189</v>
      </c>
    </row>
    <row r="476" ht="15" customHeight="1" hidden="1" thickBot="1">
      <c r="A476" s="93">
        <f t="shared" si="22"/>
        <v>188</v>
      </c>
    </row>
    <row r="477" ht="15" customHeight="1" hidden="1" thickBot="1">
      <c r="A477" s="93">
        <f t="shared" si="22"/>
        <v>187</v>
      </c>
    </row>
    <row r="478" ht="15" customHeight="1" hidden="1" thickBot="1">
      <c r="A478" s="93">
        <f t="shared" si="22"/>
        <v>186</v>
      </c>
    </row>
    <row r="479" ht="15" customHeight="1" hidden="1" thickBot="1">
      <c r="A479" s="93">
        <f t="shared" si="22"/>
        <v>185</v>
      </c>
    </row>
    <row r="480" ht="15" customHeight="1" hidden="1" thickBot="1">
      <c r="A480" s="93">
        <f t="shared" si="22"/>
        <v>184</v>
      </c>
    </row>
    <row r="481" ht="15" customHeight="1" hidden="1" thickBot="1">
      <c r="A481" s="93">
        <f t="shared" si="22"/>
        <v>183</v>
      </c>
    </row>
    <row r="482" ht="15" customHeight="1" hidden="1" thickBot="1">
      <c r="A482" s="93">
        <f t="shared" si="22"/>
        <v>182</v>
      </c>
    </row>
    <row r="483" ht="15" customHeight="1" hidden="1" thickBot="1">
      <c r="A483" s="93">
        <f t="shared" si="22"/>
        <v>181</v>
      </c>
    </row>
    <row r="484" ht="15" customHeight="1" hidden="1" thickBot="1">
      <c r="A484" s="93">
        <f t="shared" si="22"/>
        <v>180</v>
      </c>
    </row>
    <row r="485" ht="15" customHeight="1" hidden="1" thickBot="1">
      <c r="A485" s="93">
        <f t="shared" si="22"/>
        <v>179</v>
      </c>
    </row>
    <row r="486" ht="15" customHeight="1" hidden="1" thickBot="1">
      <c r="A486" s="93">
        <f t="shared" si="22"/>
        <v>178</v>
      </c>
    </row>
    <row r="487" ht="15" customHeight="1" hidden="1" thickBot="1">
      <c r="A487" s="93">
        <f t="shared" si="22"/>
        <v>177</v>
      </c>
    </row>
    <row r="488" ht="15" customHeight="1" hidden="1" thickBot="1">
      <c r="A488" s="93">
        <f t="shared" si="22"/>
        <v>176</v>
      </c>
    </row>
    <row r="489" ht="15" customHeight="1" hidden="1" thickBot="1">
      <c r="A489" s="93">
        <f t="shared" si="22"/>
        <v>175</v>
      </c>
    </row>
    <row r="490" ht="15" customHeight="1" hidden="1" thickBot="1">
      <c r="A490" s="93">
        <f t="shared" si="22"/>
        <v>174</v>
      </c>
    </row>
    <row r="491" ht="15" customHeight="1" hidden="1" thickBot="1">
      <c r="A491" s="93">
        <f t="shared" si="22"/>
        <v>173</v>
      </c>
    </row>
    <row r="492" ht="15" customHeight="1" hidden="1" thickBot="1">
      <c r="A492" s="93">
        <f t="shared" si="22"/>
        <v>172</v>
      </c>
    </row>
    <row r="493" ht="15" customHeight="1" hidden="1" thickBot="1">
      <c r="A493" s="93">
        <f t="shared" si="22"/>
        <v>171</v>
      </c>
    </row>
    <row r="494" ht="15" customHeight="1" hidden="1" thickBot="1">
      <c r="A494" s="93">
        <f t="shared" si="22"/>
        <v>170</v>
      </c>
    </row>
    <row r="495" ht="15" customHeight="1" hidden="1" thickBot="1">
      <c r="A495" s="93">
        <f t="shared" si="22"/>
        <v>169</v>
      </c>
    </row>
    <row r="496" ht="15" customHeight="1" hidden="1" thickBot="1">
      <c r="A496" s="93">
        <f t="shared" si="22"/>
        <v>168</v>
      </c>
    </row>
    <row r="497" ht="15" customHeight="1" hidden="1" thickBot="1">
      <c r="A497" s="93">
        <f t="shared" si="22"/>
        <v>167</v>
      </c>
    </row>
    <row r="498" ht="15" customHeight="1" hidden="1" thickBot="1">
      <c r="A498" s="93">
        <f t="shared" si="22"/>
        <v>166</v>
      </c>
    </row>
    <row r="499" ht="15" customHeight="1" hidden="1" thickBot="1">
      <c r="A499" s="93">
        <f t="shared" si="22"/>
        <v>165</v>
      </c>
    </row>
    <row r="500" ht="15" customHeight="1" hidden="1" thickBot="1">
      <c r="A500" s="93">
        <f t="shared" si="22"/>
        <v>164</v>
      </c>
    </row>
    <row r="501" ht="15" customHeight="1" hidden="1" thickBot="1">
      <c r="A501" s="93">
        <f t="shared" si="22"/>
        <v>163</v>
      </c>
    </row>
    <row r="502" ht="15" customHeight="1" hidden="1" thickBot="1">
      <c r="A502" s="93">
        <f t="shared" si="22"/>
        <v>162</v>
      </c>
    </row>
    <row r="503" ht="15" customHeight="1" hidden="1" thickBot="1">
      <c r="A503" s="93">
        <f t="shared" si="22"/>
        <v>161</v>
      </c>
    </row>
    <row r="504" ht="15" customHeight="1" hidden="1" thickBot="1">
      <c r="A504" s="93">
        <f t="shared" si="22"/>
        <v>160</v>
      </c>
    </row>
    <row r="505" ht="15" customHeight="1" hidden="1" thickBot="1">
      <c r="A505" s="93">
        <f t="shared" si="22"/>
        <v>159</v>
      </c>
    </row>
    <row r="506" ht="15" customHeight="1" hidden="1" thickBot="1">
      <c r="A506" s="93">
        <f t="shared" si="22"/>
        <v>158</v>
      </c>
    </row>
    <row r="507" ht="15" customHeight="1" hidden="1" thickBot="1">
      <c r="A507" s="93">
        <f t="shared" si="22"/>
        <v>157</v>
      </c>
    </row>
    <row r="508" ht="15" customHeight="1" hidden="1" thickBot="1">
      <c r="A508" s="93">
        <f t="shared" si="22"/>
        <v>156</v>
      </c>
    </row>
    <row r="509" ht="15" customHeight="1" hidden="1" thickBot="1">
      <c r="A509" s="93">
        <f t="shared" si="22"/>
        <v>155</v>
      </c>
    </row>
    <row r="510" ht="15" customHeight="1" hidden="1" thickBot="1">
      <c r="A510" s="93">
        <f t="shared" si="22"/>
        <v>154</v>
      </c>
    </row>
    <row r="511" ht="15" customHeight="1" hidden="1" thickBot="1">
      <c r="A511" s="93">
        <f t="shared" si="22"/>
        <v>153</v>
      </c>
    </row>
    <row r="512" ht="15" customHeight="1" hidden="1" thickBot="1">
      <c r="A512" s="93">
        <f t="shared" si="22"/>
        <v>152</v>
      </c>
    </row>
    <row r="513" ht="15" customHeight="1" hidden="1" thickBot="1">
      <c r="A513" s="93">
        <f t="shared" si="22"/>
        <v>151</v>
      </c>
    </row>
    <row r="514" ht="15" customHeight="1" hidden="1" thickBot="1">
      <c r="A514" s="93">
        <f t="shared" si="22"/>
        <v>150</v>
      </c>
    </row>
    <row r="515" ht="15" customHeight="1" hidden="1" thickBot="1">
      <c r="A515" s="93">
        <f t="shared" si="22"/>
        <v>149</v>
      </c>
    </row>
    <row r="516" ht="15" customHeight="1" hidden="1" thickBot="1">
      <c r="A516" s="93">
        <f t="shared" si="22"/>
        <v>148</v>
      </c>
    </row>
    <row r="517" ht="15" customHeight="1" hidden="1" thickBot="1">
      <c r="A517" s="93">
        <f t="shared" si="22"/>
        <v>147</v>
      </c>
    </row>
    <row r="518" ht="15" customHeight="1" hidden="1" thickBot="1">
      <c r="A518" s="93">
        <f t="shared" si="22"/>
        <v>146</v>
      </c>
    </row>
    <row r="519" ht="15" customHeight="1" hidden="1" thickBot="1">
      <c r="A519" s="93">
        <f aca="true" t="shared" si="23" ref="A519:A582">IF(ISTEXT(D520),1,1+A520)</f>
        <v>145</v>
      </c>
    </row>
    <row r="520" ht="15" customHeight="1" hidden="1" thickBot="1">
      <c r="A520" s="93">
        <f t="shared" si="23"/>
        <v>144</v>
      </c>
    </row>
    <row r="521" ht="15" customHeight="1" hidden="1" thickBot="1">
      <c r="A521" s="93">
        <f t="shared" si="23"/>
        <v>143</v>
      </c>
    </row>
    <row r="522" ht="15" customHeight="1" hidden="1" thickBot="1">
      <c r="A522" s="93">
        <f t="shared" si="23"/>
        <v>142</v>
      </c>
    </row>
    <row r="523" ht="15" customHeight="1" hidden="1" thickBot="1">
      <c r="A523" s="93">
        <f t="shared" si="23"/>
        <v>141</v>
      </c>
    </row>
    <row r="524" ht="15" customHeight="1" hidden="1" thickBot="1">
      <c r="A524" s="93">
        <f t="shared" si="23"/>
        <v>140</v>
      </c>
    </row>
    <row r="525" ht="15" customHeight="1" hidden="1" thickBot="1">
      <c r="A525" s="93">
        <f t="shared" si="23"/>
        <v>139</v>
      </c>
    </row>
    <row r="526" ht="15" customHeight="1" hidden="1" thickBot="1">
      <c r="A526" s="93">
        <f t="shared" si="23"/>
        <v>138</v>
      </c>
    </row>
    <row r="527" ht="15" customHeight="1" hidden="1" thickBot="1">
      <c r="A527" s="93">
        <f t="shared" si="23"/>
        <v>137</v>
      </c>
    </row>
    <row r="528" ht="15" customHeight="1" hidden="1" thickBot="1">
      <c r="A528" s="93">
        <f t="shared" si="23"/>
        <v>136</v>
      </c>
    </row>
    <row r="529" ht="15" customHeight="1" hidden="1" thickBot="1">
      <c r="A529" s="93">
        <f t="shared" si="23"/>
        <v>135</v>
      </c>
    </row>
    <row r="530" ht="15" customHeight="1" hidden="1" thickBot="1">
      <c r="A530" s="93">
        <f t="shared" si="23"/>
        <v>134</v>
      </c>
    </row>
    <row r="531" ht="15" customHeight="1" hidden="1" thickBot="1">
      <c r="A531" s="93">
        <f t="shared" si="23"/>
        <v>133</v>
      </c>
    </row>
    <row r="532" ht="15" customHeight="1" hidden="1" thickBot="1">
      <c r="A532" s="93">
        <f t="shared" si="23"/>
        <v>132</v>
      </c>
    </row>
    <row r="533" ht="15" customHeight="1" hidden="1" thickBot="1">
      <c r="A533" s="93">
        <f t="shared" si="23"/>
        <v>131</v>
      </c>
    </row>
    <row r="534" ht="15" customHeight="1" hidden="1" thickBot="1">
      <c r="A534" s="93">
        <f t="shared" si="23"/>
        <v>130</v>
      </c>
    </row>
    <row r="535" ht="15" customHeight="1" hidden="1" thickBot="1">
      <c r="A535" s="93">
        <f t="shared" si="23"/>
        <v>129</v>
      </c>
    </row>
    <row r="536" ht="15" customHeight="1" hidden="1" thickBot="1">
      <c r="A536" s="93">
        <f t="shared" si="23"/>
        <v>128</v>
      </c>
    </row>
    <row r="537" ht="15" customHeight="1" hidden="1" thickBot="1">
      <c r="A537" s="93">
        <f t="shared" si="23"/>
        <v>127</v>
      </c>
    </row>
    <row r="538" ht="15" customHeight="1" hidden="1" thickBot="1">
      <c r="A538" s="93">
        <f t="shared" si="23"/>
        <v>126</v>
      </c>
    </row>
    <row r="539" ht="15" customHeight="1" hidden="1" thickBot="1">
      <c r="A539" s="93">
        <f t="shared" si="23"/>
        <v>125</v>
      </c>
    </row>
    <row r="540" ht="15" customHeight="1" hidden="1" thickBot="1">
      <c r="A540" s="93">
        <f t="shared" si="23"/>
        <v>124</v>
      </c>
    </row>
    <row r="541" ht="15" customHeight="1" hidden="1" thickBot="1">
      <c r="A541" s="93">
        <f t="shared" si="23"/>
        <v>123</v>
      </c>
    </row>
    <row r="542" ht="15" customHeight="1" hidden="1" thickBot="1">
      <c r="A542" s="93">
        <f t="shared" si="23"/>
        <v>122</v>
      </c>
    </row>
    <row r="543" ht="15" customHeight="1" hidden="1" thickBot="1">
      <c r="A543" s="93">
        <f t="shared" si="23"/>
        <v>121</v>
      </c>
    </row>
    <row r="544" ht="15" customHeight="1" hidden="1" thickBot="1">
      <c r="A544" s="93">
        <f t="shared" si="23"/>
        <v>120</v>
      </c>
    </row>
    <row r="545" ht="15" customHeight="1" hidden="1" thickBot="1">
      <c r="A545" s="93">
        <f t="shared" si="23"/>
        <v>119</v>
      </c>
    </row>
    <row r="546" ht="15" customHeight="1" hidden="1" thickBot="1">
      <c r="A546" s="93">
        <f t="shared" si="23"/>
        <v>118</v>
      </c>
    </row>
    <row r="547" ht="15" customHeight="1" hidden="1" thickBot="1">
      <c r="A547" s="93">
        <f t="shared" si="23"/>
        <v>117</v>
      </c>
    </row>
    <row r="548" ht="15" customHeight="1" hidden="1" thickBot="1">
      <c r="A548" s="93">
        <f t="shared" si="23"/>
        <v>116</v>
      </c>
    </row>
    <row r="549" ht="15" customHeight="1" hidden="1" thickBot="1">
      <c r="A549" s="93">
        <f t="shared" si="23"/>
        <v>115</v>
      </c>
    </row>
    <row r="550" ht="15" customHeight="1" hidden="1" thickBot="1">
      <c r="A550" s="93">
        <f t="shared" si="23"/>
        <v>114</v>
      </c>
    </row>
    <row r="551" ht="15" customHeight="1" hidden="1" thickBot="1">
      <c r="A551" s="93">
        <f t="shared" si="23"/>
        <v>113</v>
      </c>
    </row>
    <row r="552" ht="15" customHeight="1" hidden="1" thickBot="1">
      <c r="A552" s="93">
        <f t="shared" si="23"/>
        <v>112</v>
      </c>
    </row>
    <row r="553" ht="15" customHeight="1" hidden="1" thickBot="1">
      <c r="A553" s="93">
        <f t="shared" si="23"/>
        <v>111</v>
      </c>
    </row>
    <row r="554" ht="15" customHeight="1" hidden="1" thickBot="1">
      <c r="A554" s="93">
        <f t="shared" si="23"/>
        <v>110</v>
      </c>
    </row>
    <row r="555" ht="15" customHeight="1" hidden="1" thickBot="1">
      <c r="A555" s="93">
        <f t="shared" si="23"/>
        <v>109</v>
      </c>
    </row>
    <row r="556" ht="15" customHeight="1" hidden="1" thickBot="1">
      <c r="A556" s="93">
        <f t="shared" si="23"/>
        <v>108</v>
      </c>
    </row>
    <row r="557" ht="15" customHeight="1" hidden="1" thickBot="1">
      <c r="A557" s="93">
        <f t="shared" si="23"/>
        <v>107</v>
      </c>
    </row>
    <row r="558" ht="15" customHeight="1" hidden="1" thickBot="1">
      <c r="A558" s="93">
        <f t="shared" si="23"/>
        <v>106</v>
      </c>
    </row>
    <row r="559" ht="15" customHeight="1" hidden="1" thickBot="1">
      <c r="A559" s="93">
        <f t="shared" si="23"/>
        <v>105</v>
      </c>
    </row>
    <row r="560" ht="15" customHeight="1" hidden="1" thickBot="1">
      <c r="A560" s="93">
        <f t="shared" si="23"/>
        <v>104</v>
      </c>
    </row>
    <row r="561" ht="15" customHeight="1" hidden="1" thickBot="1">
      <c r="A561" s="93">
        <f t="shared" si="23"/>
        <v>103</v>
      </c>
    </row>
    <row r="562" ht="15" customHeight="1" hidden="1" thickBot="1">
      <c r="A562" s="93">
        <f t="shared" si="23"/>
        <v>102</v>
      </c>
    </row>
    <row r="563" ht="15" customHeight="1" hidden="1" thickBot="1">
      <c r="A563" s="93">
        <f t="shared" si="23"/>
        <v>101</v>
      </c>
    </row>
    <row r="564" ht="15" customHeight="1" hidden="1" thickBot="1">
      <c r="A564" s="93">
        <f t="shared" si="23"/>
        <v>100</v>
      </c>
    </row>
    <row r="565" ht="15" customHeight="1" hidden="1" thickBot="1">
      <c r="A565" s="93">
        <f t="shared" si="23"/>
        <v>99</v>
      </c>
    </row>
    <row r="566" ht="15" customHeight="1" hidden="1" thickBot="1">
      <c r="A566" s="93">
        <f t="shared" si="23"/>
        <v>98</v>
      </c>
    </row>
    <row r="567" ht="15" customHeight="1" hidden="1" thickBot="1">
      <c r="A567" s="93">
        <f t="shared" si="23"/>
        <v>97</v>
      </c>
    </row>
    <row r="568" ht="15" customHeight="1" hidden="1" thickBot="1">
      <c r="A568" s="93">
        <f t="shared" si="23"/>
        <v>96</v>
      </c>
    </row>
    <row r="569" ht="15" customHeight="1" hidden="1" thickBot="1">
      <c r="A569" s="93">
        <f t="shared" si="23"/>
        <v>95</v>
      </c>
    </row>
    <row r="570" ht="15" customHeight="1" hidden="1" thickBot="1">
      <c r="A570" s="93">
        <f t="shared" si="23"/>
        <v>94</v>
      </c>
    </row>
    <row r="571" ht="15" customHeight="1" hidden="1" thickBot="1">
      <c r="A571" s="93">
        <f t="shared" si="23"/>
        <v>93</v>
      </c>
    </row>
    <row r="572" ht="15" customHeight="1" hidden="1" thickBot="1">
      <c r="A572" s="93">
        <f t="shared" si="23"/>
        <v>92</v>
      </c>
    </row>
    <row r="573" ht="15" customHeight="1" hidden="1" thickBot="1">
      <c r="A573" s="93">
        <f t="shared" si="23"/>
        <v>91</v>
      </c>
    </row>
    <row r="574" ht="15" customHeight="1" hidden="1" thickBot="1">
      <c r="A574" s="93">
        <f t="shared" si="23"/>
        <v>90</v>
      </c>
    </row>
    <row r="575" ht="15" customHeight="1" hidden="1" thickBot="1">
      <c r="A575" s="93">
        <f t="shared" si="23"/>
        <v>89</v>
      </c>
    </row>
    <row r="576" ht="15" customHeight="1" hidden="1" thickBot="1">
      <c r="A576" s="93">
        <f t="shared" si="23"/>
        <v>88</v>
      </c>
    </row>
    <row r="577" ht="15" customHeight="1" hidden="1" thickBot="1">
      <c r="A577" s="93">
        <f t="shared" si="23"/>
        <v>87</v>
      </c>
    </row>
    <row r="578" ht="15" customHeight="1" hidden="1" thickBot="1">
      <c r="A578" s="93">
        <f t="shared" si="23"/>
        <v>86</v>
      </c>
    </row>
    <row r="579" ht="15" customHeight="1" hidden="1" thickBot="1">
      <c r="A579" s="93">
        <f t="shared" si="23"/>
        <v>85</v>
      </c>
    </row>
    <row r="580" ht="15" customHeight="1" hidden="1" thickBot="1">
      <c r="A580" s="93">
        <f t="shared" si="23"/>
        <v>84</v>
      </c>
    </row>
    <row r="581" ht="15" customHeight="1" hidden="1" thickBot="1">
      <c r="A581" s="93">
        <f t="shared" si="23"/>
        <v>83</v>
      </c>
    </row>
    <row r="582" ht="15" customHeight="1" hidden="1" thickBot="1">
      <c r="A582" s="93">
        <f t="shared" si="23"/>
        <v>82</v>
      </c>
    </row>
    <row r="583" ht="15" customHeight="1" hidden="1" thickBot="1">
      <c r="A583" s="93">
        <f aca="true" t="shared" si="24" ref="A583:A600">IF(ISTEXT(D584),1,1+A584)</f>
        <v>81</v>
      </c>
    </row>
    <row r="584" ht="15" customHeight="1" hidden="1" thickBot="1">
      <c r="A584" s="93">
        <f t="shared" si="24"/>
        <v>80</v>
      </c>
    </row>
    <row r="585" ht="15" customHeight="1" hidden="1" thickBot="1">
      <c r="A585" s="93">
        <f t="shared" si="24"/>
        <v>79</v>
      </c>
    </row>
    <row r="586" ht="15" customHeight="1" hidden="1" thickBot="1">
      <c r="A586" s="93">
        <f t="shared" si="24"/>
        <v>78</v>
      </c>
    </row>
    <row r="587" ht="15" customHeight="1" hidden="1" thickBot="1">
      <c r="A587" s="93">
        <f t="shared" si="24"/>
        <v>77</v>
      </c>
    </row>
    <row r="588" ht="15" customHeight="1" hidden="1" thickBot="1">
      <c r="A588" s="93">
        <f t="shared" si="24"/>
        <v>76</v>
      </c>
    </row>
    <row r="589" ht="15" customHeight="1" hidden="1" thickBot="1">
      <c r="A589" s="93">
        <f t="shared" si="24"/>
        <v>75</v>
      </c>
    </row>
    <row r="590" ht="15" customHeight="1" hidden="1" thickBot="1">
      <c r="A590" s="93">
        <f t="shared" si="24"/>
        <v>74</v>
      </c>
    </row>
    <row r="591" ht="15" customHeight="1" hidden="1" thickBot="1">
      <c r="A591" s="93">
        <f t="shared" si="24"/>
        <v>73</v>
      </c>
    </row>
    <row r="592" ht="15" customHeight="1" hidden="1" thickBot="1">
      <c r="A592" s="93">
        <f t="shared" si="24"/>
        <v>72</v>
      </c>
    </row>
    <row r="593" ht="15" customHeight="1" hidden="1" thickBot="1">
      <c r="A593" s="93">
        <f t="shared" si="24"/>
        <v>71</v>
      </c>
    </row>
    <row r="594" ht="15" customHeight="1" hidden="1" thickBot="1">
      <c r="A594" s="93">
        <f t="shared" si="24"/>
        <v>70</v>
      </c>
    </row>
    <row r="595" ht="15" customHeight="1" hidden="1" thickBot="1">
      <c r="A595" s="93">
        <f t="shared" si="24"/>
        <v>69</v>
      </c>
    </row>
    <row r="596" ht="15" customHeight="1" hidden="1" thickBot="1">
      <c r="A596" s="93">
        <f t="shared" si="24"/>
        <v>68</v>
      </c>
    </row>
    <row r="597" ht="15" customHeight="1" hidden="1" thickBot="1">
      <c r="A597" s="93">
        <f t="shared" si="24"/>
        <v>67</v>
      </c>
    </row>
    <row r="598" ht="15" customHeight="1" hidden="1" thickBot="1">
      <c r="A598" s="93">
        <f t="shared" si="24"/>
        <v>66</v>
      </c>
    </row>
    <row r="599" ht="15" customHeight="1" hidden="1" thickBot="1">
      <c r="A599" s="93">
        <f t="shared" si="24"/>
        <v>65</v>
      </c>
    </row>
    <row r="600" ht="15" customHeight="1" hidden="1" thickBot="1">
      <c r="A600" s="93">
        <f t="shared" si="24"/>
        <v>64</v>
      </c>
    </row>
    <row r="601" ht="15" customHeight="1" hidden="1" thickBot="1">
      <c r="A601" s="93">
        <f aca="true" t="shared" si="25" ref="A601:A611">IF(ISTEXT(D602),1,1+A602)</f>
        <v>63</v>
      </c>
    </row>
    <row r="602" ht="15" customHeight="1" hidden="1" thickBot="1">
      <c r="A602" s="93">
        <f t="shared" si="25"/>
        <v>62</v>
      </c>
    </row>
    <row r="603" ht="15" customHeight="1" hidden="1" thickBot="1">
      <c r="A603" s="93">
        <f t="shared" si="25"/>
        <v>61</v>
      </c>
    </row>
    <row r="604" ht="15" customHeight="1" hidden="1" thickBot="1">
      <c r="A604" s="93">
        <f t="shared" si="25"/>
        <v>60</v>
      </c>
    </row>
    <row r="605" ht="15" customHeight="1" hidden="1" thickBot="1">
      <c r="A605" s="93">
        <f t="shared" si="25"/>
        <v>59</v>
      </c>
    </row>
    <row r="606" ht="15" customHeight="1" hidden="1" thickBot="1">
      <c r="A606" s="93">
        <f t="shared" si="25"/>
        <v>58</v>
      </c>
    </row>
    <row r="607" ht="15" customHeight="1" hidden="1" thickBot="1">
      <c r="A607" s="93">
        <f t="shared" si="25"/>
        <v>57</v>
      </c>
    </row>
    <row r="608" ht="15" customHeight="1" hidden="1" thickBot="1">
      <c r="A608" s="93">
        <f t="shared" si="25"/>
        <v>56</v>
      </c>
    </row>
    <row r="609" ht="15" customHeight="1" hidden="1" thickBot="1">
      <c r="A609" s="93">
        <f t="shared" si="25"/>
        <v>55</v>
      </c>
    </row>
    <row r="610" ht="15" customHeight="1" hidden="1" thickBot="1">
      <c r="A610" s="93">
        <f t="shared" si="25"/>
        <v>54</v>
      </c>
    </row>
    <row r="611" ht="15" customHeight="1" hidden="1" thickBot="1">
      <c r="A611" s="93">
        <f t="shared" si="25"/>
        <v>53</v>
      </c>
    </row>
    <row r="612" ht="15" customHeight="1" hidden="1" thickBot="1">
      <c r="A612" s="93">
        <f aca="true" t="shared" si="26" ref="A612:A622">IF(ISTEXT(D613),1,1+A613)</f>
        <v>52</v>
      </c>
    </row>
    <row r="613" ht="15" customHeight="1" hidden="1" thickBot="1">
      <c r="A613" s="93">
        <f t="shared" si="26"/>
        <v>51</v>
      </c>
    </row>
    <row r="614" ht="15" customHeight="1" hidden="1" thickBot="1">
      <c r="A614" s="93">
        <f t="shared" si="26"/>
        <v>50</v>
      </c>
    </row>
    <row r="615" ht="15" customHeight="1" hidden="1" thickBot="1">
      <c r="A615" s="93">
        <f t="shared" si="26"/>
        <v>49</v>
      </c>
    </row>
    <row r="616" ht="15" customHeight="1" hidden="1" thickBot="1">
      <c r="A616" s="93">
        <f t="shared" si="26"/>
        <v>48</v>
      </c>
    </row>
    <row r="617" ht="15" customHeight="1" hidden="1" thickBot="1">
      <c r="A617" s="93">
        <f t="shared" si="26"/>
        <v>47</v>
      </c>
    </row>
    <row r="618" ht="15" customHeight="1" hidden="1" thickBot="1">
      <c r="A618" s="93">
        <f t="shared" si="26"/>
        <v>46</v>
      </c>
    </row>
    <row r="619" ht="15" customHeight="1" hidden="1" thickBot="1">
      <c r="A619" s="93">
        <f t="shared" si="26"/>
        <v>45</v>
      </c>
    </row>
    <row r="620" ht="15" customHeight="1" hidden="1" thickBot="1">
      <c r="A620" s="93">
        <f t="shared" si="26"/>
        <v>44</v>
      </c>
    </row>
    <row r="621" ht="15" customHeight="1" hidden="1" thickBot="1">
      <c r="A621" s="93">
        <f t="shared" si="26"/>
        <v>43</v>
      </c>
    </row>
    <row r="622" ht="15" customHeight="1" hidden="1" thickBot="1">
      <c r="A622" s="93">
        <f t="shared" si="26"/>
        <v>42</v>
      </c>
    </row>
    <row r="623" ht="15" customHeight="1" hidden="1" thickBot="1">
      <c r="A623" s="93">
        <f>IF(ISTEXT(D624),1,1+A624)</f>
        <v>41</v>
      </c>
    </row>
    <row r="624" ht="15" customHeight="1" hidden="1" thickBot="1">
      <c r="A624" s="93">
        <f>IF(ISTEXT(D625),1,1+A625)</f>
        <v>40</v>
      </c>
    </row>
    <row r="625" ht="15" customHeight="1" hidden="1" thickBot="1">
      <c r="A625" s="93">
        <f>IF(ISTEXT(D626),1,1+A626)</f>
        <v>39</v>
      </c>
    </row>
    <row r="626" ht="15" customHeight="1" hidden="1" thickBot="1">
      <c r="A626" s="93">
        <f>IF(ISTEXT(D627),1,1+A627)</f>
        <v>38</v>
      </c>
    </row>
    <row r="627" ht="15" customHeight="1" hidden="1" thickBot="1">
      <c r="A627" s="93">
        <f>IF(ISTEXT(D628),1,1+A628)</f>
        <v>37</v>
      </c>
    </row>
    <row r="628" ht="15" customHeight="1" hidden="1" thickBot="1">
      <c r="A628" s="93">
        <f aca="true" t="shared" si="27" ref="A628:A642">IF(ISTEXT(D629),1,1+A629)</f>
        <v>36</v>
      </c>
    </row>
    <row r="629" ht="15" customHeight="1" hidden="1" thickBot="1">
      <c r="A629" s="93">
        <f t="shared" si="27"/>
        <v>35</v>
      </c>
    </row>
    <row r="630" ht="15" customHeight="1" hidden="1" thickBot="1">
      <c r="A630" s="93">
        <f t="shared" si="27"/>
        <v>34</v>
      </c>
    </row>
    <row r="631" ht="15" customHeight="1" hidden="1" thickBot="1">
      <c r="A631" s="93">
        <f t="shared" si="27"/>
        <v>33</v>
      </c>
    </row>
    <row r="632" ht="15" customHeight="1" hidden="1" thickBot="1">
      <c r="A632" s="93">
        <f t="shared" si="27"/>
        <v>32</v>
      </c>
    </row>
    <row r="633" ht="15" customHeight="1" hidden="1" thickBot="1">
      <c r="A633" s="93">
        <f t="shared" si="27"/>
        <v>31</v>
      </c>
    </row>
    <row r="634" ht="15" customHeight="1" hidden="1" thickBot="1">
      <c r="A634" s="93">
        <f t="shared" si="27"/>
        <v>30</v>
      </c>
    </row>
    <row r="635" ht="15" customHeight="1" hidden="1" thickBot="1">
      <c r="A635" s="93">
        <f t="shared" si="27"/>
        <v>29</v>
      </c>
    </row>
    <row r="636" ht="15" customHeight="1" hidden="1" thickBot="1">
      <c r="A636" s="93">
        <f t="shared" si="27"/>
        <v>28</v>
      </c>
    </row>
    <row r="637" ht="15" customHeight="1" hidden="1" thickBot="1">
      <c r="A637" s="93">
        <f t="shared" si="27"/>
        <v>27</v>
      </c>
    </row>
    <row r="638" ht="15" customHeight="1" hidden="1" thickBot="1">
      <c r="A638" s="93">
        <f t="shared" si="27"/>
        <v>26</v>
      </c>
    </row>
    <row r="639" ht="15" customHeight="1" hidden="1" thickBot="1">
      <c r="A639" s="93">
        <f t="shared" si="27"/>
        <v>25</v>
      </c>
    </row>
    <row r="640" ht="15" customHeight="1" hidden="1" thickBot="1">
      <c r="A640" s="93">
        <f t="shared" si="27"/>
        <v>24</v>
      </c>
    </row>
    <row r="641" ht="15" customHeight="1" hidden="1" thickBot="1">
      <c r="A641" s="93">
        <f t="shared" si="27"/>
        <v>23</v>
      </c>
    </row>
    <row r="642" ht="15" customHeight="1" hidden="1" thickBot="1">
      <c r="A642" s="93">
        <f t="shared" si="27"/>
        <v>22</v>
      </c>
    </row>
    <row r="643" ht="15" customHeight="1" hidden="1" thickBot="1">
      <c r="A643" s="93">
        <f aca="true" t="shared" si="28" ref="A643:A656">IF(ISTEXT(D644),1,1+A644)</f>
        <v>21</v>
      </c>
    </row>
    <row r="644" ht="15" customHeight="1" hidden="1" thickBot="1">
      <c r="A644" s="93">
        <f t="shared" si="28"/>
        <v>20</v>
      </c>
    </row>
    <row r="645" ht="15" customHeight="1" hidden="1" thickBot="1">
      <c r="A645" s="93">
        <f t="shared" si="28"/>
        <v>19</v>
      </c>
    </row>
    <row r="646" ht="15" customHeight="1" hidden="1" thickBot="1">
      <c r="A646" s="93">
        <f t="shared" si="28"/>
        <v>18</v>
      </c>
    </row>
    <row r="647" ht="15" customHeight="1" hidden="1" thickBot="1">
      <c r="A647" s="93">
        <f t="shared" si="28"/>
        <v>17</v>
      </c>
    </row>
    <row r="648" ht="15" customHeight="1" hidden="1" thickBot="1">
      <c r="A648" s="93">
        <f t="shared" si="28"/>
        <v>16</v>
      </c>
    </row>
    <row r="649" ht="15" customHeight="1" hidden="1" thickBot="1">
      <c r="A649" s="93">
        <f t="shared" si="28"/>
        <v>15</v>
      </c>
    </row>
    <row r="650" ht="15" customHeight="1" hidden="1" thickBot="1">
      <c r="A650" s="93">
        <f t="shared" si="28"/>
        <v>14</v>
      </c>
    </row>
    <row r="651" ht="15" customHeight="1" hidden="1" thickBot="1">
      <c r="A651" s="93">
        <f t="shared" si="28"/>
        <v>13</v>
      </c>
    </row>
    <row r="652" ht="15" customHeight="1" hidden="1" thickBot="1">
      <c r="A652" s="93">
        <f t="shared" si="28"/>
        <v>12</v>
      </c>
    </row>
    <row r="653" ht="15" customHeight="1" hidden="1" thickBot="1">
      <c r="A653" s="93">
        <f t="shared" si="28"/>
        <v>11</v>
      </c>
    </row>
    <row r="654" ht="15" customHeight="1" hidden="1" thickBot="1">
      <c r="A654" s="93">
        <f t="shared" si="28"/>
        <v>10</v>
      </c>
    </row>
    <row r="655" ht="15" customHeight="1" hidden="1" thickBot="1">
      <c r="A655" s="93">
        <f t="shared" si="28"/>
        <v>9</v>
      </c>
    </row>
    <row r="656" ht="15" customHeight="1" hidden="1" thickBot="1">
      <c r="A656" s="93">
        <f t="shared" si="28"/>
        <v>8</v>
      </c>
    </row>
    <row r="657" ht="15" customHeight="1" hidden="1" thickBot="1">
      <c r="A657" s="93">
        <f aca="true" t="shared" si="29" ref="A657:A663">IF(ISTEXT(D658),1,1+A658)</f>
        <v>7</v>
      </c>
    </row>
    <row r="658" ht="15" customHeight="1" hidden="1" thickBot="1">
      <c r="A658" s="93">
        <f t="shared" si="29"/>
        <v>6</v>
      </c>
    </row>
    <row r="659" ht="15" customHeight="1" hidden="1" thickBot="1">
      <c r="A659" s="93">
        <f t="shared" si="29"/>
        <v>5</v>
      </c>
    </row>
    <row r="660" ht="15" customHeight="1" hidden="1" thickBot="1">
      <c r="A660" s="93">
        <f t="shared" si="29"/>
        <v>4</v>
      </c>
    </row>
    <row r="661" ht="15" customHeight="1" hidden="1" thickBot="1">
      <c r="A661" s="93">
        <f t="shared" si="29"/>
        <v>3</v>
      </c>
    </row>
    <row r="662" ht="15" customHeight="1" hidden="1" thickBot="1">
      <c r="A662" s="93">
        <f t="shared" si="29"/>
        <v>2</v>
      </c>
    </row>
    <row r="663" ht="15" customHeight="1" hidden="1" thickBot="1">
      <c r="A663" s="93">
        <f t="shared" si="29"/>
        <v>1</v>
      </c>
    </row>
    <row r="664" ht="12"/>
    <row r="665" spans="5:11" ht="12">
      <c r="E665" s="719" t="s">
        <v>842</v>
      </c>
      <c r="F665" s="719"/>
      <c r="G665" s="719"/>
      <c r="H665" s="719"/>
      <c r="I665" s="719"/>
      <c r="J665" s="719"/>
      <c r="K665" s="719"/>
    </row>
    <row r="666" ht="12">
      <c r="E666" s="719" t="s">
        <v>1004</v>
      </c>
    </row>
    <row r="696" ht="12"/>
    <row r="698" ht="12"/>
    <row r="699" ht="12"/>
    <row r="700" ht="12"/>
    <row r="701" ht="12"/>
    <row r="703" ht="12"/>
    <row r="704" ht="12"/>
    <row r="705" ht="12"/>
    <row r="724" ht="12"/>
    <row r="725" ht="12"/>
    <row r="726" ht="12"/>
    <row r="735" ht="12"/>
    <row r="736" ht="12"/>
  </sheetData>
  <sheetProtection sheet="1" selectLockedCells="1" selectUnlockedCells="1"/>
  <mergeCells count="8">
    <mergeCell ref="P5:Q5"/>
    <mergeCell ref="P8:Q8"/>
    <mergeCell ref="P10:Q10"/>
    <mergeCell ref="E131:L131"/>
    <mergeCell ref="E132:L132"/>
    <mergeCell ref="E133:L133"/>
    <mergeCell ref="E129:L129"/>
    <mergeCell ref="E130:L130"/>
  </mergeCells>
  <hyperlinks>
    <hyperlink ref="I199" r:id="rId1" display="http://www.epa.gov/autoemissions/"/>
  </hyperlinks>
  <printOptions/>
  <pageMargins left="0.75" right="0.75" top="1" bottom="1" header="0.5" footer="0.5"/>
  <pageSetup blackAndWhite="1" fitToHeight="1" fitToWidth="1" horizontalDpi="600" verticalDpi="600" orientation="landscape" scale="96"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J698"/>
  <sheetViews>
    <sheetView zoomScale="85" zoomScaleNormal="85" workbookViewId="0" topLeftCell="C1">
      <pane ySplit="4" topLeftCell="BM155" activePane="bottomLeft" state="frozen"/>
      <selection pane="topLeft" activeCell="C1" sqref="C1"/>
      <selection pane="bottomLeft" activeCell="E187" sqref="E187"/>
    </sheetView>
  </sheetViews>
  <sheetFormatPr defaultColWidth="9.140625" defaultRowHeight="12.75"/>
  <cols>
    <col min="1" max="2" width="12.8515625" style="0" hidden="1" customWidth="1"/>
    <col min="3" max="3" width="4.57421875" style="0" customWidth="1"/>
    <col min="4" max="4" width="1.7109375" style="443" customWidth="1"/>
    <col min="5" max="5" width="18.140625" style="0" customWidth="1"/>
    <col min="6" max="6" width="12.140625" style="0" customWidth="1"/>
    <col min="7" max="7" width="20.8515625" style="0" customWidth="1"/>
    <col min="8" max="8" width="12.57421875" style="0" customWidth="1"/>
    <col min="9" max="9" width="13.140625" style="0" customWidth="1"/>
    <col min="10" max="10" width="14.00390625" style="0" customWidth="1"/>
    <col min="11" max="11" width="12.7109375" style="0" customWidth="1"/>
    <col min="12" max="12" width="12.00390625" style="0" customWidth="1"/>
    <col min="13" max="13" width="17.00390625" style="0" customWidth="1"/>
    <col min="14" max="15" width="13.7109375" style="0" customWidth="1"/>
    <col min="16" max="16" width="11.28125" style="0" customWidth="1"/>
    <col min="17" max="17" width="12.140625" style="0" customWidth="1"/>
    <col min="18" max="19" width="12.00390625" style="0" customWidth="1"/>
    <col min="20" max="20" width="11.421875" style="0" customWidth="1"/>
  </cols>
  <sheetData>
    <row r="1" s="35" customFormat="1" ht="3.75" customHeight="1" thickBot="1">
      <c r="D1" s="934"/>
    </row>
    <row r="2" spans="3:4" s="35" customFormat="1" ht="20.25" customHeight="1">
      <c r="C2" s="240" t="s">
        <v>408</v>
      </c>
      <c r="D2" s="934"/>
    </row>
    <row r="3" s="35" customFormat="1" ht="2.25" customHeight="1" thickBot="1">
      <c r="D3" s="934"/>
    </row>
    <row r="4" spans="3:13" s="239" customFormat="1" ht="34.5" customHeight="1">
      <c r="C4" s="1037" t="s">
        <v>1015</v>
      </c>
      <c r="D4" s="1037"/>
      <c r="E4" s="1037"/>
      <c r="F4" s="1037"/>
      <c r="G4" s="1037"/>
      <c r="H4" s="1037"/>
      <c r="I4" s="1037"/>
      <c r="J4" s="1037"/>
      <c r="K4" s="1037"/>
      <c r="L4" s="932"/>
      <c r="M4" s="932"/>
    </row>
    <row r="5" spans="3:4" s="155" customFormat="1" ht="6" customHeight="1" thickBot="1">
      <c r="C5" s="146"/>
      <c r="D5" s="935"/>
    </row>
    <row r="6" spans="1:5" s="327" customFormat="1" ht="25.5" customHeight="1" thickBot="1">
      <c r="A6" s="93">
        <f>IF(ISTEXT(D7),1,1+A7)</f>
        <v>12</v>
      </c>
      <c r="C6" s="328"/>
      <c r="D6" s="331" t="s">
        <v>197</v>
      </c>
      <c r="E6" s="933"/>
    </row>
    <row r="7" spans="1:5" ht="15" customHeight="1" hidden="1" thickBot="1">
      <c r="A7" s="93">
        <f aca="true" t="shared" si="0" ref="A7:A70">IF(ISTEXT(D8),1,1+A8)</f>
        <v>11</v>
      </c>
      <c r="E7" s="825" t="s">
        <v>745</v>
      </c>
    </row>
    <row r="8" spans="1:13" s="33" customFormat="1" ht="15" customHeight="1" hidden="1" thickBot="1">
      <c r="A8" s="93">
        <f t="shared" si="0"/>
        <v>10</v>
      </c>
      <c r="D8" s="179"/>
      <c r="E8" s="820" t="s">
        <v>134</v>
      </c>
      <c r="F8" s="34"/>
      <c r="G8" s="34"/>
      <c r="H8" s="34"/>
      <c r="I8" s="34"/>
      <c r="J8" s="821" t="s">
        <v>198</v>
      </c>
      <c r="K8" s="34"/>
      <c r="L8" s="34"/>
      <c r="M8" s="208"/>
    </row>
    <row r="9" spans="1:13" s="33" customFormat="1" ht="15" customHeight="1" hidden="1" thickBot="1">
      <c r="A9" s="93">
        <f t="shared" si="0"/>
        <v>9</v>
      </c>
      <c r="D9" s="179"/>
      <c r="E9" s="822" t="s">
        <v>199</v>
      </c>
      <c r="F9" s="113" t="s">
        <v>200</v>
      </c>
      <c r="G9" s="114">
        <v>4.1868</v>
      </c>
      <c r="H9" s="33" t="s">
        <v>201</v>
      </c>
      <c r="J9" s="325" t="s">
        <v>202</v>
      </c>
      <c r="K9" s="113" t="s">
        <v>200</v>
      </c>
      <c r="L9" s="114">
        <v>0.9072</v>
      </c>
      <c r="M9" s="44" t="s">
        <v>203</v>
      </c>
    </row>
    <row r="10" spans="1:13" s="33" customFormat="1" ht="15" customHeight="1" hidden="1" thickBot="1">
      <c r="A10" s="93">
        <f t="shared" si="0"/>
        <v>8</v>
      </c>
      <c r="D10" s="179"/>
      <c r="E10" s="822" t="s">
        <v>204</v>
      </c>
      <c r="F10" s="113" t="s">
        <v>200</v>
      </c>
      <c r="G10" s="115">
        <v>0.2778</v>
      </c>
      <c r="H10" s="33" t="s">
        <v>205</v>
      </c>
      <c r="J10" s="325" t="s">
        <v>206</v>
      </c>
      <c r="K10" s="113" t="s">
        <v>200</v>
      </c>
      <c r="L10" s="114">
        <v>1.1023</v>
      </c>
      <c r="M10" s="44" t="s">
        <v>207</v>
      </c>
    </row>
    <row r="11" spans="1:13" s="33" customFormat="1" ht="15" customHeight="1" hidden="1" thickBot="1">
      <c r="A11" s="93">
        <f t="shared" si="0"/>
        <v>7</v>
      </c>
      <c r="D11" s="179"/>
      <c r="E11" s="822" t="s">
        <v>208</v>
      </c>
      <c r="F11" s="113" t="s">
        <v>200</v>
      </c>
      <c r="G11" s="115">
        <v>277.8</v>
      </c>
      <c r="H11" s="33" t="s">
        <v>209</v>
      </c>
      <c r="J11" s="325" t="s">
        <v>206</v>
      </c>
      <c r="K11" s="113" t="s">
        <v>200</v>
      </c>
      <c r="L11" s="247">
        <v>1000</v>
      </c>
      <c r="M11" s="44" t="s">
        <v>210</v>
      </c>
    </row>
    <row r="12" spans="1:13" s="33" customFormat="1" ht="15" customHeight="1" hidden="1" thickBot="1">
      <c r="A12" s="93">
        <f t="shared" si="0"/>
        <v>6</v>
      </c>
      <c r="D12" s="179"/>
      <c r="E12" s="823" t="s">
        <v>211</v>
      </c>
      <c r="F12" s="113" t="s">
        <v>200</v>
      </c>
      <c r="G12" s="114">
        <v>1010</v>
      </c>
      <c r="H12" s="819" t="s">
        <v>212</v>
      </c>
      <c r="J12" s="325" t="s">
        <v>236</v>
      </c>
      <c r="K12" s="113" t="s">
        <v>200</v>
      </c>
      <c r="L12" s="246">
        <v>1</v>
      </c>
      <c r="M12" s="824" t="s">
        <v>237</v>
      </c>
    </row>
    <row r="13" spans="1:13" s="33" customFormat="1" ht="15" customHeight="1" hidden="1" thickBot="1">
      <c r="A13" s="93">
        <f t="shared" si="0"/>
        <v>5</v>
      </c>
      <c r="D13" s="179"/>
      <c r="E13" s="822" t="s">
        <v>238</v>
      </c>
      <c r="F13" s="113" t="s">
        <v>200</v>
      </c>
      <c r="G13" s="114">
        <v>41.868</v>
      </c>
      <c r="H13" s="33" t="s">
        <v>239</v>
      </c>
      <c r="J13" s="325" t="s">
        <v>240</v>
      </c>
      <c r="K13" s="113" t="s">
        <v>200</v>
      </c>
      <c r="L13" s="114">
        <v>2.2046</v>
      </c>
      <c r="M13" s="44" t="s">
        <v>241</v>
      </c>
    </row>
    <row r="14" spans="1:13" s="33" customFormat="1" ht="15" customHeight="1" hidden="1" thickBot="1">
      <c r="A14" s="93">
        <f t="shared" si="0"/>
        <v>4</v>
      </c>
      <c r="D14" s="179"/>
      <c r="E14" s="119" t="s">
        <v>242</v>
      </c>
      <c r="F14" s="120" t="s">
        <v>200</v>
      </c>
      <c r="G14" s="33">
        <v>1055</v>
      </c>
      <c r="H14" s="33" t="s">
        <v>201</v>
      </c>
      <c r="J14" s="33" t="s">
        <v>202</v>
      </c>
      <c r="K14" s="120" t="s">
        <v>200</v>
      </c>
      <c r="L14" s="321">
        <v>2000</v>
      </c>
      <c r="M14" s="44" t="s">
        <v>241</v>
      </c>
    </row>
    <row r="15" spans="1:13" s="33" customFormat="1" ht="15" customHeight="1" hidden="1" thickBot="1">
      <c r="A15" s="93">
        <f t="shared" si="0"/>
        <v>3</v>
      </c>
      <c r="D15" s="179"/>
      <c r="E15" s="119"/>
      <c r="F15" s="120"/>
      <c r="J15" s="33" t="s">
        <v>243</v>
      </c>
      <c r="K15" s="33" t="s">
        <v>200</v>
      </c>
      <c r="L15" s="33">
        <f>1/L13</f>
        <v>0.4535970244035199</v>
      </c>
      <c r="M15" s="44" t="s">
        <v>68</v>
      </c>
    </row>
    <row r="16" spans="1:13" s="33" customFormat="1" ht="15" customHeight="1" hidden="1" thickBot="1">
      <c r="A16" s="93">
        <f t="shared" si="0"/>
        <v>2</v>
      </c>
      <c r="D16" s="179"/>
      <c r="E16" s="116"/>
      <c r="F16" s="117"/>
      <c r="G16" s="117"/>
      <c r="H16" s="117"/>
      <c r="I16" s="117"/>
      <c r="J16" s="117" t="s">
        <v>243</v>
      </c>
      <c r="K16" s="117" t="s">
        <v>200</v>
      </c>
      <c r="L16" s="117">
        <f>L15*1000</f>
        <v>453.5970244035199</v>
      </c>
      <c r="M16" s="118" t="s">
        <v>244</v>
      </c>
    </row>
    <row r="17" ht="15" customHeight="1" hidden="1" thickBot="1">
      <c r="A17" s="93">
        <f t="shared" si="0"/>
        <v>1</v>
      </c>
    </row>
    <row r="18" spans="1:4" s="329" customFormat="1" ht="22.5" customHeight="1" thickBot="1">
      <c r="A18" s="93">
        <f t="shared" si="0"/>
        <v>11</v>
      </c>
      <c r="D18" s="331" t="s">
        <v>245</v>
      </c>
    </row>
    <row r="19" spans="1:5" ht="15" customHeight="1" hidden="1" thickBot="1">
      <c r="A19" s="93">
        <f t="shared" si="0"/>
        <v>10</v>
      </c>
      <c r="E19" s="825" t="s">
        <v>746</v>
      </c>
    </row>
    <row r="20" spans="1:11" ht="15" customHeight="1" hidden="1" thickBot="1">
      <c r="A20" s="93">
        <f t="shared" si="0"/>
        <v>9</v>
      </c>
      <c r="E20" s="826" t="s">
        <v>778</v>
      </c>
      <c r="F20" s="34" t="s">
        <v>246</v>
      </c>
      <c r="G20" s="34" t="s">
        <v>247</v>
      </c>
      <c r="H20" s="34" t="s">
        <v>248</v>
      </c>
      <c r="I20" s="34" t="s">
        <v>779</v>
      </c>
      <c r="J20" s="34" t="s">
        <v>780</v>
      </c>
      <c r="K20" s="208" t="s">
        <v>781</v>
      </c>
    </row>
    <row r="21" spans="1:11" ht="15" customHeight="1" hidden="1" thickBot="1">
      <c r="A21" s="93">
        <f t="shared" si="0"/>
        <v>8</v>
      </c>
      <c r="E21" s="119" t="s">
        <v>249</v>
      </c>
      <c r="F21" s="34" t="s">
        <v>250</v>
      </c>
      <c r="G21" s="34"/>
      <c r="H21" s="34"/>
      <c r="I21" s="34"/>
      <c r="J21" s="34"/>
      <c r="K21" s="208"/>
    </row>
    <row r="22" spans="1:11" ht="15" customHeight="1" hidden="1" thickBot="1">
      <c r="A22" s="93">
        <f t="shared" si="0"/>
        <v>7</v>
      </c>
      <c r="E22" s="119" t="s">
        <v>246</v>
      </c>
      <c r="F22" s="33">
        <v>1</v>
      </c>
      <c r="G22" s="33">
        <v>0.8327</v>
      </c>
      <c r="H22" s="33">
        <v>0.02381</v>
      </c>
      <c r="I22" s="33">
        <v>0.1337</v>
      </c>
      <c r="J22" s="33">
        <v>3.785</v>
      </c>
      <c r="K22" s="44">
        <v>0.0038</v>
      </c>
    </row>
    <row r="23" spans="1:11" ht="15" customHeight="1" hidden="1" thickBot="1">
      <c r="A23" s="93">
        <f t="shared" si="0"/>
        <v>6</v>
      </c>
      <c r="E23" s="119" t="s">
        <v>247</v>
      </c>
      <c r="F23" s="33">
        <v>1.201</v>
      </c>
      <c r="G23" s="33">
        <v>1</v>
      </c>
      <c r="H23" s="33">
        <v>0.02859</v>
      </c>
      <c r="I23" s="33">
        <v>0.1605</v>
      </c>
      <c r="J23" s="33">
        <v>4.546</v>
      </c>
      <c r="K23" s="44">
        <v>0.0045</v>
      </c>
    </row>
    <row r="24" spans="1:11" ht="15" customHeight="1" hidden="1" thickBot="1">
      <c r="A24" s="93">
        <f t="shared" si="0"/>
        <v>5</v>
      </c>
      <c r="E24" s="119" t="s">
        <v>248</v>
      </c>
      <c r="F24" s="33">
        <v>42</v>
      </c>
      <c r="G24" s="33">
        <v>34.87</v>
      </c>
      <c r="H24" s="33">
        <v>1</v>
      </c>
      <c r="I24" s="33">
        <v>5.615</v>
      </c>
      <c r="J24" s="33">
        <v>159</v>
      </c>
      <c r="K24" s="44">
        <v>0.159</v>
      </c>
    </row>
    <row r="25" spans="1:11" ht="15" customHeight="1" hidden="1" thickBot="1">
      <c r="A25" s="93">
        <f t="shared" si="0"/>
        <v>4</v>
      </c>
      <c r="E25" s="119" t="s">
        <v>782</v>
      </c>
      <c r="F25" s="33">
        <v>7.48</v>
      </c>
      <c r="G25" s="33">
        <v>6.229</v>
      </c>
      <c r="H25" s="33">
        <v>0.1781</v>
      </c>
      <c r="I25" s="33">
        <v>1</v>
      </c>
      <c r="J25" s="33">
        <v>28.3</v>
      </c>
      <c r="K25" s="44">
        <v>0.0283</v>
      </c>
    </row>
    <row r="26" spans="1:11" ht="15" customHeight="1" hidden="1" thickBot="1">
      <c r="A26" s="93">
        <f t="shared" si="0"/>
        <v>3</v>
      </c>
      <c r="E26" s="119" t="s">
        <v>780</v>
      </c>
      <c r="F26" s="33">
        <v>0.2642</v>
      </c>
      <c r="G26" s="33">
        <v>0.22</v>
      </c>
      <c r="H26" s="33">
        <v>0.0063</v>
      </c>
      <c r="I26" s="33">
        <v>0.0353</v>
      </c>
      <c r="J26" s="33">
        <v>1</v>
      </c>
      <c r="K26" s="44">
        <v>0.001</v>
      </c>
    </row>
    <row r="27" spans="1:11" ht="15" customHeight="1" hidden="1" thickBot="1">
      <c r="A27" s="93">
        <f t="shared" si="0"/>
        <v>2</v>
      </c>
      <c r="E27" s="116" t="s">
        <v>783</v>
      </c>
      <c r="F27" s="117">
        <v>264.2</v>
      </c>
      <c r="G27" s="117">
        <v>220</v>
      </c>
      <c r="H27" s="117">
        <v>6.289</v>
      </c>
      <c r="I27" s="117">
        <v>35.3147</v>
      </c>
      <c r="J27" s="117">
        <v>1000</v>
      </c>
      <c r="K27" s="118">
        <v>1</v>
      </c>
    </row>
    <row r="28" spans="1:5" ht="15" customHeight="1" hidden="1" thickBot="1">
      <c r="A28" s="93">
        <f t="shared" si="0"/>
        <v>1</v>
      </c>
      <c r="E28" s="322" t="s">
        <v>251</v>
      </c>
    </row>
    <row r="29" spans="1:4" s="139" customFormat="1" ht="21.75" customHeight="1" thickBot="1">
      <c r="A29" s="93">
        <f t="shared" si="0"/>
        <v>13</v>
      </c>
      <c r="C29" s="330"/>
      <c r="D29" s="331" t="s">
        <v>252</v>
      </c>
    </row>
    <row r="30" spans="1:5" s="275" customFormat="1" ht="15" customHeight="1" thickBot="1">
      <c r="A30" s="93">
        <f t="shared" si="0"/>
        <v>12</v>
      </c>
      <c r="D30" s="936"/>
      <c r="E30" s="827" t="s">
        <v>747</v>
      </c>
    </row>
    <row r="31" spans="1:13" s="275" customFormat="1" ht="15" customHeight="1" thickBot="1">
      <c r="A31" s="93">
        <f t="shared" si="0"/>
        <v>11</v>
      </c>
      <c r="D31" s="936"/>
      <c r="E31" s="828" t="s">
        <v>253</v>
      </c>
      <c r="F31" s="829"/>
      <c r="G31" s="829"/>
      <c r="H31" s="34"/>
      <c r="I31" s="829" t="s">
        <v>254</v>
      </c>
      <c r="J31" s="829"/>
      <c r="K31" s="829"/>
      <c r="L31" s="829"/>
      <c r="M31" s="830"/>
    </row>
    <row r="32" spans="1:14" s="33" customFormat="1" ht="15" customHeight="1" thickBot="1">
      <c r="A32" s="93">
        <f t="shared" si="0"/>
        <v>10</v>
      </c>
      <c r="D32" s="179"/>
      <c r="E32" s="119" t="s">
        <v>255</v>
      </c>
      <c r="F32" s="33" t="str">
        <f>"="</f>
        <v>=</v>
      </c>
      <c r="G32" s="33" t="s">
        <v>256</v>
      </c>
      <c r="H32" s="33" t="str">
        <f>"="</f>
        <v>=</v>
      </c>
      <c r="I32" s="33">
        <v>2.54</v>
      </c>
      <c r="J32" s="33" t="s">
        <v>257</v>
      </c>
      <c r="M32" s="44"/>
      <c r="N32" s="275"/>
    </row>
    <row r="33" spans="1:14" s="33" customFormat="1" ht="15" customHeight="1" thickBot="1">
      <c r="A33" s="93">
        <f t="shared" si="0"/>
        <v>9</v>
      </c>
      <c r="D33" s="179"/>
      <c r="E33" s="119" t="s">
        <v>258</v>
      </c>
      <c r="F33" s="33" t="str">
        <f>"="</f>
        <v>=</v>
      </c>
      <c r="G33" s="33" t="s">
        <v>259</v>
      </c>
      <c r="H33" s="33" t="str">
        <f>"="</f>
        <v>=</v>
      </c>
      <c r="I33" s="33">
        <f>12*I32</f>
        <v>30.48</v>
      </c>
      <c r="J33" s="33" t="s">
        <v>260</v>
      </c>
      <c r="K33" s="558" t="s">
        <v>261</v>
      </c>
      <c r="L33" s="123">
        <f>I33/100</f>
        <v>0.3048</v>
      </c>
      <c r="M33" s="44" t="s">
        <v>262</v>
      </c>
      <c r="N33" s="275"/>
    </row>
    <row r="34" spans="1:14" s="33" customFormat="1" ht="15" customHeight="1" thickBot="1">
      <c r="A34" s="93">
        <f t="shared" si="0"/>
        <v>8</v>
      </c>
      <c r="D34" s="179"/>
      <c r="E34" s="119" t="s">
        <v>263</v>
      </c>
      <c r="F34" s="33" t="str">
        <f>"="</f>
        <v>=</v>
      </c>
      <c r="G34" s="33" t="s">
        <v>264</v>
      </c>
      <c r="H34" s="33" t="str">
        <f>"="</f>
        <v>=</v>
      </c>
      <c r="I34" s="33">
        <f>3*I33</f>
        <v>91.44</v>
      </c>
      <c r="J34" s="33" t="s">
        <v>260</v>
      </c>
      <c r="K34" s="558" t="s">
        <v>261</v>
      </c>
      <c r="L34" s="124">
        <v>0.9072</v>
      </c>
      <c r="M34" s="44" t="s">
        <v>262</v>
      </c>
      <c r="N34" s="275"/>
    </row>
    <row r="35" spans="1:13" s="33" customFormat="1" ht="15" customHeight="1" thickBot="1">
      <c r="A35" s="93">
        <f t="shared" si="0"/>
        <v>7</v>
      </c>
      <c r="D35" s="179"/>
      <c r="E35" s="119" t="s">
        <v>265</v>
      </c>
      <c r="F35" s="33" t="str">
        <f>"="</f>
        <v>=</v>
      </c>
      <c r="G35" s="33" t="s">
        <v>266</v>
      </c>
      <c r="H35" s="33" t="str">
        <f>"="</f>
        <v>=</v>
      </c>
      <c r="I35" s="33">
        <f>1.6093</f>
        <v>1.6093</v>
      </c>
      <c r="J35" s="33" t="s">
        <v>267</v>
      </c>
      <c r="K35" s="558" t="s">
        <v>268</v>
      </c>
      <c r="L35" s="33">
        <v>0.87</v>
      </c>
      <c r="M35" s="44" t="s">
        <v>269</v>
      </c>
    </row>
    <row r="36" spans="1:13" s="33" customFormat="1" ht="15" customHeight="1" thickBot="1">
      <c r="A36" s="93">
        <f t="shared" si="0"/>
        <v>6</v>
      </c>
      <c r="D36" s="179"/>
      <c r="E36" s="831" t="s">
        <v>270</v>
      </c>
      <c r="F36" s="117" t="str">
        <f>"="</f>
        <v>=</v>
      </c>
      <c r="G36" s="117" t="s">
        <v>271</v>
      </c>
      <c r="H36" s="117" t="str">
        <f>"="</f>
        <v>=</v>
      </c>
      <c r="I36" s="117">
        <f>1.1494*1.6093</f>
        <v>1.8497294199999998</v>
      </c>
      <c r="J36" s="117" t="s">
        <v>267</v>
      </c>
      <c r="K36" s="117"/>
      <c r="L36" s="117"/>
      <c r="M36" s="118"/>
    </row>
    <row r="37" spans="1:5" ht="15" customHeight="1" thickBot="1">
      <c r="A37" s="93">
        <f t="shared" si="0"/>
        <v>5</v>
      </c>
      <c r="E37" t="s">
        <v>748</v>
      </c>
    </row>
    <row r="38" spans="1:5" ht="15" customHeight="1" thickBot="1">
      <c r="A38" s="93">
        <f t="shared" si="0"/>
        <v>4</v>
      </c>
      <c r="E38" t="s">
        <v>272</v>
      </c>
    </row>
    <row r="39" ht="15" customHeight="1" thickBot="1">
      <c r="A39" s="93">
        <f t="shared" si="0"/>
        <v>3</v>
      </c>
    </row>
    <row r="40" ht="15" customHeight="1" thickBot="1">
      <c r="A40" s="93">
        <f t="shared" si="0"/>
        <v>2</v>
      </c>
    </row>
    <row r="41" ht="15" customHeight="1" thickBot="1">
      <c r="A41" s="93">
        <f t="shared" si="0"/>
        <v>1</v>
      </c>
    </row>
    <row r="42" spans="1:12" s="326" customFormat="1" ht="26.25" customHeight="1" thickBot="1">
      <c r="A42" s="93">
        <f t="shared" si="0"/>
        <v>21</v>
      </c>
      <c r="D42" s="331" t="s">
        <v>280</v>
      </c>
      <c r="E42" s="328"/>
      <c r="F42" s="328"/>
      <c r="G42" s="328"/>
      <c r="H42" s="328"/>
      <c r="I42" s="328"/>
      <c r="J42" s="328"/>
      <c r="K42" s="328"/>
      <c r="L42" s="328"/>
    </row>
    <row r="43" spans="1:12" s="738" customFormat="1" ht="15" customHeight="1" thickBot="1">
      <c r="A43" s="93">
        <f t="shared" si="0"/>
        <v>20</v>
      </c>
      <c r="D43" s="834"/>
      <c r="E43" s="739"/>
      <c r="F43" s="739"/>
      <c r="G43" s="739"/>
      <c r="H43" s="739"/>
      <c r="I43" s="739"/>
      <c r="J43" s="739"/>
      <c r="K43" s="739"/>
      <c r="L43" s="739"/>
    </row>
    <row r="44" spans="1:12" ht="15" customHeight="1" thickBot="1">
      <c r="A44" s="93">
        <f t="shared" si="0"/>
        <v>19</v>
      </c>
      <c r="D44" s="28"/>
      <c r="E44" s="832" t="s">
        <v>749</v>
      </c>
      <c r="F44" s="281"/>
      <c r="G44" s="97"/>
      <c r="H44" s="97"/>
      <c r="I44" s="97"/>
      <c r="J44" s="97"/>
      <c r="K44" s="97"/>
      <c r="L44" s="97"/>
    </row>
    <row r="45" spans="1:12" ht="15" customHeight="1" thickBot="1" thickTop="1">
      <c r="A45" s="93">
        <f t="shared" si="0"/>
        <v>18</v>
      </c>
      <c r="D45" s="572"/>
      <c r="E45" s="282"/>
      <c r="F45" s="283"/>
      <c r="G45" s="288" t="s">
        <v>281</v>
      </c>
      <c r="H45" s="288"/>
      <c r="I45" s="288"/>
      <c r="J45" s="288"/>
      <c r="K45" s="289" t="s">
        <v>282</v>
      </c>
      <c r="L45" s="284"/>
    </row>
    <row r="46" spans="1:12" ht="15" customHeight="1" thickBot="1">
      <c r="A46" s="93">
        <f t="shared" si="0"/>
        <v>17</v>
      </c>
      <c r="D46" s="285"/>
      <c r="E46" s="286"/>
      <c r="F46" s="287"/>
      <c r="G46" s="533" t="s">
        <v>283</v>
      </c>
      <c r="H46" s="533" t="s">
        <v>284</v>
      </c>
      <c r="I46" s="533" t="s">
        <v>285</v>
      </c>
      <c r="J46" s="533" t="s">
        <v>286</v>
      </c>
      <c r="K46" s="533" t="s">
        <v>287</v>
      </c>
      <c r="L46" s="290"/>
    </row>
    <row r="47" spans="1:12" ht="15" customHeight="1" thickBot="1">
      <c r="A47" s="93">
        <f t="shared" si="0"/>
        <v>16</v>
      </c>
      <c r="D47" s="291"/>
      <c r="E47" s="292"/>
      <c r="F47" s="293"/>
      <c r="G47" s="534" t="s">
        <v>288</v>
      </c>
      <c r="H47" s="534"/>
      <c r="I47" s="534" t="s">
        <v>289</v>
      </c>
      <c r="J47" s="534" t="s">
        <v>290</v>
      </c>
      <c r="K47" s="534" t="s">
        <v>291</v>
      </c>
      <c r="L47" s="295"/>
    </row>
    <row r="48" spans="1:12" ht="15" customHeight="1" thickBot="1">
      <c r="A48" s="93">
        <f t="shared" si="0"/>
        <v>15</v>
      </c>
      <c r="D48" s="285"/>
      <c r="E48" s="286"/>
      <c r="F48" s="287"/>
      <c r="G48" s="310" t="s">
        <v>292</v>
      </c>
      <c r="H48" s="310" t="s">
        <v>293</v>
      </c>
      <c r="I48" s="310">
        <v>41.86</v>
      </c>
      <c r="J48" s="310" t="s">
        <v>294</v>
      </c>
      <c r="K48" s="315"/>
      <c r="L48" s="290"/>
    </row>
    <row r="49" spans="1:12" ht="15" customHeight="1" thickBot="1">
      <c r="A49" s="93">
        <f t="shared" si="0"/>
        <v>14</v>
      </c>
      <c r="D49" s="285"/>
      <c r="E49" s="286"/>
      <c r="F49" s="296" t="s">
        <v>295</v>
      </c>
      <c r="G49" s="297"/>
      <c r="H49" s="297"/>
      <c r="I49" s="297"/>
      <c r="J49" s="297"/>
      <c r="K49" s="297"/>
      <c r="L49" s="290"/>
    </row>
    <row r="50" spans="1:12" ht="15" customHeight="1" thickBot="1">
      <c r="A50" s="93">
        <f t="shared" si="0"/>
        <v>13</v>
      </c>
      <c r="D50" s="285"/>
      <c r="E50" s="286"/>
      <c r="F50" s="483" t="s">
        <v>296</v>
      </c>
      <c r="G50" s="482">
        <v>0</v>
      </c>
      <c r="H50" s="482">
        <v>240</v>
      </c>
      <c r="I50" s="482">
        <v>0</v>
      </c>
      <c r="J50" s="482">
        <v>0</v>
      </c>
      <c r="K50" s="300">
        <f>IF(COUNTIF(F50:J50,0)&gt;=3,G50*0.001+H50*0.00000105506+I50*41.86+J50*0.0036,"Only enter one type of energy unit for each kind of fuel")</f>
        <v>0.0002532144</v>
      </c>
      <c r="L50" s="290"/>
    </row>
    <row r="51" spans="1:12" ht="15" customHeight="1" thickBot="1">
      <c r="A51" s="93">
        <f t="shared" si="0"/>
        <v>12</v>
      </c>
      <c r="D51" s="285"/>
      <c r="E51" s="286"/>
      <c r="F51" s="481"/>
      <c r="G51" s="482">
        <v>0</v>
      </c>
      <c r="H51" s="482">
        <v>0</v>
      </c>
      <c r="I51" s="482">
        <v>0</v>
      </c>
      <c r="J51" s="482">
        <v>0</v>
      </c>
      <c r="K51" s="300">
        <f aca="true" t="shared" si="1" ref="K51:K57">IF(COUNTIF(F51:J51,0)&gt;=3,G51*0.001+H51*0.00000105506+I51*41.86+J51*0.0036,"Only enter one type of energy unit for each kind of fuel")</f>
        <v>0</v>
      </c>
      <c r="L51" s="290"/>
    </row>
    <row r="52" spans="1:12" ht="15" customHeight="1" thickBot="1">
      <c r="A52" s="93">
        <f t="shared" si="0"/>
        <v>11</v>
      </c>
      <c r="D52" s="285"/>
      <c r="E52" s="286"/>
      <c r="F52" s="481"/>
      <c r="G52" s="482">
        <v>0</v>
      </c>
      <c r="H52" s="482">
        <v>0</v>
      </c>
      <c r="I52" s="482">
        <v>0</v>
      </c>
      <c r="J52" s="482">
        <v>0</v>
      </c>
      <c r="K52" s="300">
        <f t="shared" si="1"/>
        <v>0</v>
      </c>
      <c r="L52" s="290"/>
    </row>
    <row r="53" spans="1:12" ht="15" customHeight="1" thickBot="1">
      <c r="A53" s="93">
        <f t="shared" si="0"/>
        <v>10</v>
      </c>
      <c r="D53" s="285"/>
      <c r="E53" s="286"/>
      <c r="F53" s="481"/>
      <c r="G53" s="482">
        <v>0</v>
      </c>
      <c r="H53" s="482">
        <v>0</v>
      </c>
      <c r="I53" s="482">
        <v>0</v>
      </c>
      <c r="J53" s="482">
        <v>0</v>
      </c>
      <c r="K53" s="300">
        <f t="shared" si="1"/>
        <v>0</v>
      </c>
      <c r="L53" s="290"/>
    </row>
    <row r="54" spans="1:12" ht="15" customHeight="1" thickBot="1">
      <c r="A54" s="93">
        <f t="shared" si="0"/>
        <v>9</v>
      </c>
      <c r="D54" s="285"/>
      <c r="E54" s="286"/>
      <c r="F54" s="481"/>
      <c r="G54" s="482">
        <v>0</v>
      </c>
      <c r="H54" s="482">
        <v>0</v>
      </c>
      <c r="I54" s="482">
        <v>0</v>
      </c>
      <c r="J54" s="482">
        <v>0</v>
      </c>
      <c r="K54" s="300">
        <f t="shared" si="1"/>
        <v>0</v>
      </c>
      <c r="L54" s="290"/>
    </row>
    <row r="55" spans="1:12" ht="15" customHeight="1" thickBot="1">
      <c r="A55" s="93">
        <f t="shared" si="0"/>
        <v>8</v>
      </c>
      <c r="D55" s="285"/>
      <c r="E55" s="286"/>
      <c r="F55" s="481"/>
      <c r="G55" s="482">
        <v>0</v>
      </c>
      <c r="H55" s="482">
        <v>0</v>
      </c>
      <c r="I55" s="482">
        <v>0</v>
      </c>
      <c r="J55" s="482">
        <v>0</v>
      </c>
      <c r="K55" s="300">
        <f t="shared" si="1"/>
        <v>0</v>
      </c>
      <c r="L55" s="290"/>
    </row>
    <row r="56" spans="1:12" ht="15" customHeight="1" thickBot="1">
      <c r="A56" s="93">
        <f t="shared" si="0"/>
        <v>7</v>
      </c>
      <c r="D56" s="285"/>
      <c r="E56" s="286"/>
      <c r="F56" s="481"/>
      <c r="G56" s="482">
        <v>0</v>
      </c>
      <c r="H56" s="482">
        <v>0</v>
      </c>
      <c r="I56" s="482">
        <v>0</v>
      </c>
      <c r="J56" s="482">
        <v>0</v>
      </c>
      <c r="K56" s="300">
        <f t="shared" si="1"/>
        <v>0</v>
      </c>
      <c r="L56" s="290"/>
    </row>
    <row r="57" spans="1:12" ht="15" customHeight="1" thickBot="1">
      <c r="A57" s="93">
        <f t="shared" si="0"/>
        <v>6</v>
      </c>
      <c r="D57" s="285"/>
      <c r="E57" s="286"/>
      <c r="F57" s="481"/>
      <c r="G57" s="482">
        <v>0</v>
      </c>
      <c r="H57" s="482">
        <v>0</v>
      </c>
      <c r="I57" s="482">
        <v>0</v>
      </c>
      <c r="J57" s="482">
        <v>0</v>
      </c>
      <c r="K57" s="300">
        <f t="shared" si="1"/>
        <v>0</v>
      </c>
      <c r="L57" s="290"/>
    </row>
    <row r="58" spans="1:12" ht="15" customHeight="1" thickBot="1">
      <c r="A58" s="93">
        <f t="shared" si="0"/>
        <v>5</v>
      </c>
      <c r="D58" s="301"/>
      <c r="E58" s="302"/>
      <c r="F58" s="303"/>
      <c r="G58" s="304"/>
      <c r="H58" s="304"/>
      <c r="I58" s="304"/>
      <c r="J58" s="304"/>
      <c r="K58" s="305"/>
      <c r="L58" s="306"/>
    </row>
    <row r="59" spans="1:12" ht="15" customHeight="1" thickBot="1">
      <c r="A59" s="93">
        <f t="shared" si="0"/>
        <v>4</v>
      </c>
      <c r="D59" s="301"/>
      <c r="E59" s="302"/>
      <c r="F59" s="303"/>
      <c r="G59" s="307" t="s">
        <v>297</v>
      </c>
      <c r="H59" s="308" t="s">
        <v>298</v>
      </c>
      <c r="I59" s="308"/>
      <c r="J59" s="308"/>
      <c r="K59" s="308"/>
      <c r="L59" s="306"/>
    </row>
    <row r="60" spans="1:12" ht="15" customHeight="1" thickBot="1">
      <c r="A60" s="93">
        <f t="shared" si="0"/>
        <v>3</v>
      </c>
      <c r="D60" s="301"/>
      <c r="E60" s="302"/>
      <c r="F60" s="303"/>
      <c r="G60" s="307"/>
      <c r="H60" s="308" t="s">
        <v>299</v>
      </c>
      <c r="I60" s="308"/>
      <c r="J60" s="307"/>
      <c r="K60" s="309"/>
      <c r="L60" s="306"/>
    </row>
    <row r="61" spans="1:12" ht="15" customHeight="1" thickBot="1">
      <c r="A61" s="93">
        <f t="shared" si="0"/>
        <v>2</v>
      </c>
      <c r="D61" s="20"/>
      <c r="E61" s="278"/>
      <c r="F61" s="279"/>
      <c r="G61" s="279"/>
      <c r="H61" s="279"/>
      <c r="I61" s="279"/>
      <c r="J61" s="279"/>
      <c r="K61" s="279"/>
      <c r="L61" s="280"/>
    </row>
    <row r="62" ht="15" customHeight="1" thickBot="1">
      <c r="A62" s="93">
        <f t="shared" si="0"/>
        <v>1</v>
      </c>
    </row>
    <row r="63" spans="1:11" s="326" customFormat="1" ht="21" customHeight="1" thickBot="1">
      <c r="A63" s="93">
        <f t="shared" si="0"/>
        <v>22</v>
      </c>
      <c r="D63" s="331" t="s">
        <v>300</v>
      </c>
      <c r="E63" s="328"/>
      <c r="F63" s="328"/>
      <c r="G63" s="328"/>
      <c r="H63" s="328"/>
      <c r="I63" s="328"/>
      <c r="J63" s="328"/>
      <c r="K63" s="328"/>
    </row>
    <row r="64" spans="1:11" s="738" customFormat="1" ht="15" customHeight="1" thickBot="1">
      <c r="A64" s="93">
        <f t="shared" si="0"/>
        <v>21</v>
      </c>
      <c r="D64" s="834"/>
      <c r="E64" s="739"/>
      <c r="F64" s="739"/>
      <c r="G64" s="739"/>
      <c r="H64" s="739"/>
      <c r="I64" s="739"/>
      <c r="J64" s="739"/>
      <c r="K64" s="739"/>
    </row>
    <row r="65" spans="1:11" ht="15" customHeight="1" thickBot="1">
      <c r="A65" s="93">
        <f t="shared" si="0"/>
        <v>20</v>
      </c>
      <c r="D65" s="28"/>
      <c r="E65" s="832" t="s">
        <v>750</v>
      </c>
      <c r="F65" s="281"/>
      <c r="G65" s="97"/>
      <c r="H65" s="97"/>
      <c r="I65" s="97"/>
      <c r="J65" s="97"/>
      <c r="K65" s="97"/>
    </row>
    <row r="66" spans="1:11" ht="15" customHeight="1" thickBot="1" thickTop="1">
      <c r="A66" s="93">
        <f t="shared" si="0"/>
        <v>19</v>
      </c>
      <c r="D66" s="572"/>
      <c r="E66" s="282"/>
      <c r="F66" s="283"/>
      <c r="G66" s="283"/>
      <c r="H66" s="283"/>
      <c r="I66" s="283"/>
      <c r="J66" s="283"/>
      <c r="K66" s="284"/>
    </row>
    <row r="67" spans="1:11" ht="15" customHeight="1" thickBot="1">
      <c r="A67" s="93">
        <f t="shared" si="0"/>
        <v>18</v>
      </c>
      <c r="D67" s="285"/>
      <c r="E67" s="286"/>
      <c r="F67" s="287"/>
      <c r="G67" s="288" t="s">
        <v>281</v>
      </c>
      <c r="H67" s="288"/>
      <c r="I67" s="288"/>
      <c r="J67" s="289" t="s">
        <v>282</v>
      </c>
      <c r="K67" s="290"/>
    </row>
    <row r="68" spans="1:11" ht="15" customHeight="1" thickBot="1">
      <c r="A68" s="93">
        <f t="shared" si="0"/>
        <v>17</v>
      </c>
      <c r="D68" s="291"/>
      <c r="E68" s="292"/>
      <c r="F68" s="293"/>
      <c r="G68" s="294" t="s">
        <v>73</v>
      </c>
      <c r="H68" s="294" t="s">
        <v>301</v>
      </c>
      <c r="I68" s="294" t="s">
        <v>302</v>
      </c>
      <c r="J68" s="294" t="s">
        <v>64</v>
      </c>
      <c r="K68" s="295"/>
    </row>
    <row r="69" spans="1:11" ht="15" customHeight="1" thickBot="1">
      <c r="A69" s="93">
        <f t="shared" si="0"/>
        <v>16</v>
      </c>
      <c r="D69" s="285"/>
      <c r="E69" s="286"/>
      <c r="F69" s="287"/>
      <c r="G69" s="310">
        <v>0.9072</v>
      </c>
      <c r="H69" s="310">
        <v>1.016</v>
      </c>
      <c r="I69" s="310" t="s">
        <v>303</v>
      </c>
      <c r="J69" s="289"/>
      <c r="K69" s="290"/>
    </row>
    <row r="70" spans="1:11" ht="15" customHeight="1" thickBot="1">
      <c r="A70" s="93">
        <f t="shared" si="0"/>
        <v>15</v>
      </c>
      <c r="D70" s="285"/>
      <c r="E70" s="286"/>
      <c r="F70" s="296" t="s">
        <v>295</v>
      </c>
      <c r="G70" s="297"/>
      <c r="H70" s="297"/>
      <c r="I70" s="297"/>
      <c r="J70" s="297"/>
      <c r="K70" s="290"/>
    </row>
    <row r="71" spans="1:11" ht="15" customHeight="1" thickBot="1">
      <c r="A71" s="93">
        <f aca="true" t="shared" si="2" ref="A71:A134">IF(ISTEXT(D72),1,1+A72)</f>
        <v>14</v>
      </c>
      <c r="D71" s="285"/>
      <c r="E71" s="286"/>
      <c r="F71" s="298"/>
      <c r="G71" s="299">
        <v>0</v>
      </c>
      <c r="H71" s="299">
        <v>0</v>
      </c>
      <c r="I71" s="299">
        <v>0</v>
      </c>
      <c r="J71" s="300">
        <f>IF(COUNTIF(F71:I71,0)&gt;=2,G71*0.9072+H71*1.016+I71*0.00045359,"Only enter one type of energy unit for each kind of fuel")</f>
        <v>0</v>
      </c>
      <c r="K71" s="290"/>
    </row>
    <row r="72" spans="1:11" ht="15" customHeight="1" thickBot="1">
      <c r="A72" s="93">
        <f t="shared" si="2"/>
        <v>13</v>
      </c>
      <c r="D72" s="285"/>
      <c r="E72" s="286"/>
      <c r="F72" s="298"/>
      <c r="G72" s="299">
        <v>0</v>
      </c>
      <c r="H72" s="299">
        <v>0</v>
      </c>
      <c r="I72" s="299">
        <v>0</v>
      </c>
      <c r="J72" s="300">
        <f aca="true" t="shared" si="3" ref="J72:J78">IF(COUNTIF(F72:I72,0)&gt;=2,G72*0.9072+H72*1.016+I72*0.00045359,"Only enter one type of energy unit for each kind of fuel")</f>
        <v>0</v>
      </c>
      <c r="K72" s="290"/>
    </row>
    <row r="73" spans="1:11" ht="15" customHeight="1" thickBot="1">
      <c r="A73" s="93">
        <f t="shared" si="2"/>
        <v>12</v>
      </c>
      <c r="D73" s="285"/>
      <c r="E73" s="286"/>
      <c r="F73" s="298"/>
      <c r="G73" s="299">
        <v>0</v>
      </c>
      <c r="H73" s="299">
        <v>0</v>
      </c>
      <c r="I73" s="299">
        <v>0</v>
      </c>
      <c r="J73" s="300">
        <f t="shared" si="3"/>
        <v>0</v>
      </c>
      <c r="K73" s="290"/>
    </row>
    <row r="74" spans="1:11" ht="15" customHeight="1" thickBot="1">
      <c r="A74" s="93">
        <f t="shared" si="2"/>
        <v>11</v>
      </c>
      <c r="D74" s="285"/>
      <c r="E74" s="286"/>
      <c r="F74" s="298"/>
      <c r="G74" s="299">
        <v>0</v>
      </c>
      <c r="H74" s="299">
        <v>0</v>
      </c>
      <c r="I74" s="299">
        <v>0</v>
      </c>
      <c r="J74" s="300">
        <f t="shared" si="3"/>
        <v>0</v>
      </c>
      <c r="K74" s="290"/>
    </row>
    <row r="75" spans="1:11" ht="15" customHeight="1" thickBot="1">
      <c r="A75" s="93">
        <f t="shared" si="2"/>
        <v>10</v>
      </c>
      <c r="D75" s="285"/>
      <c r="E75" s="286"/>
      <c r="F75" s="298"/>
      <c r="G75" s="299">
        <v>0</v>
      </c>
      <c r="H75" s="299">
        <v>0</v>
      </c>
      <c r="I75" s="299">
        <v>0</v>
      </c>
      <c r="J75" s="300">
        <f t="shared" si="3"/>
        <v>0</v>
      </c>
      <c r="K75" s="290"/>
    </row>
    <row r="76" spans="1:11" ht="15" customHeight="1" thickBot="1">
      <c r="A76" s="93">
        <f t="shared" si="2"/>
        <v>9</v>
      </c>
      <c r="D76" s="285"/>
      <c r="E76" s="286"/>
      <c r="F76" s="298"/>
      <c r="G76" s="299">
        <v>0</v>
      </c>
      <c r="H76" s="299">
        <v>0</v>
      </c>
      <c r="I76" s="299">
        <v>0</v>
      </c>
      <c r="J76" s="300">
        <f t="shared" si="3"/>
        <v>0</v>
      </c>
      <c r="K76" s="290"/>
    </row>
    <row r="77" spans="1:11" ht="15" customHeight="1" thickBot="1">
      <c r="A77" s="93">
        <f t="shared" si="2"/>
        <v>8</v>
      </c>
      <c r="D77" s="285"/>
      <c r="E77" s="286"/>
      <c r="F77" s="298"/>
      <c r="G77" s="299">
        <v>0</v>
      </c>
      <c r="H77" s="299">
        <v>0</v>
      </c>
      <c r="I77" s="299">
        <v>0</v>
      </c>
      <c r="J77" s="300">
        <f t="shared" si="3"/>
        <v>0</v>
      </c>
      <c r="K77" s="290"/>
    </row>
    <row r="78" spans="1:11" ht="15" customHeight="1" thickBot="1">
      <c r="A78" s="93">
        <f t="shared" si="2"/>
        <v>7</v>
      </c>
      <c r="D78" s="285"/>
      <c r="E78" s="286"/>
      <c r="F78" s="298"/>
      <c r="G78" s="299">
        <v>0</v>
      </c>
      <c r="H78" s="299">
        <v>0</v>
      </c>
      <c r="I78" s="299">
        <v>0</v>
      </c>
      <c r="J78" s="300">
        <f t="shared" si="3"/>
        <v>0</v>
      </c>
      <c r="K78" s="290"/>
    </row>
    <row r="79" spans="1:11" ht="15" customHeight="1" thickBot="1">
      <c r="A79" s="93">
        <f t="shared" si="2"/>
        <v>6</v>
      </c>
      <c r="D79" s="301"/>
      <c r="E79" s="302"/>
      <c r="F79" s="303"/>
      <c r="G79" s="304"/>
      <c r="H79" s="304"/>
      <c r="I79" s="304"/>
      <c r="J79" s="305"/>
      <c r="K79" s="306"/>
    </row>
    <row r="80" spans="1:11" ht="15" customHeight="1" thickBot="1">
      <c r="A80" s="93">
        <f t="shared" si="2"/>
        <v>5</v>
      </c>
      <c r="D80" s="301"/>
      <c r="E80" s="302"/>
      <c r="F80" s="303"/>
      <c r="G80" s="307" t="s">
        <v>297</v>
      </c>
      <c r="H80" s="308" t="s">
        <v>298</v>
      </c>
      <c r="I80" s="308"/>
      <c r="J80" s="308"/>
      <c r="K80" s="306"/>
    </row>
    <row r="81" spans="1:11" ht="15" customHeight="1" thickBot="1">
      <c r="A81" s="93">
        <f t="shared" si="2"/>
        <v>4</v>
      </c>
      <c r="D81" s="301"/>
      <c r="E81" s="302"/>
      <c r="F81" s="303"/>
      <c r="G81" s="307"/>
      <c r="H81" s="308" t="s">
        <v>299</v>
      </c>
      <c r="I81" s="308"/>
      <c r="J81" s="309"/>
      <c r="K81" s="306"/>
    </row>
    <row r="82" spans="1:11" ht="15" customHeight="1" thickBot="1">
      <c r="A82" s="93">
        <f t="shared" si="2"/>
        <v>3</v>
      </c>
      <c r="D82" s="301"/>
      <c r="E82" s="278"/>
      <c r="F82" s="279"/>
      <c r="G82" s="279"/>
      <c r="H82" s="279"/>
      <c r="I82" s="279"/>
      <c r="J82" s="279"/>
      <c r="K82" s="280"/>
    </row>
    <row r="83" spans="1:4" ht="15" customHeight="1" thickBot="1">
      <c r="A83" s="93">
        <f t="shared" si="2"/>
        <v>2</v>
      </c>
      <c r="D83" s="301"/>
    </row>
    <row r="84" spans="1:8" s="312" customFormat="1" ht="15" customHeight="1" thickBot="1">
      <c r="A84" s="93">
        <f t="shared" si="2"/>
        <v>1</v>
      </c>
      <c r="C84"/>
      <c r="D84" s="301"/>
      <c r="E84" s="311"/>
      <c r="F84" s="311"/>
      <c r="G84" s="311"/>
      <c r="H84" s="311"/>
    </row>
    <row r="85" spans="1:11" s="326" customFormat="1" ht="24" customHeight="1" thickBot="1">
      <c r="A85" s="93">
        <f t="shared" si="2"/>
        <v>29</v>
      </c>
      <c r="D85" s="331" t="s">
        <v>410</v>
      </c>
      <c r="E85" s="328"/>
      <c r="F85" s="328"/>
      <c r="G85" s="328"/>
      <c r="H85" s="328"/>
      <c r="I85" s="328"/>
      <c r="J85" s="328"/>
      <c r="K85" s="328"/>
    </row>
    <row r="86" spans="1:4" s="718" customFormat="1" ht="15" customHeight="1" hidden="1" thickBot="1">
      <c r="A86" s="93">
        <f t="shared" si="2"/>
        <v>28</v>
      </c>
      <c r="C86" s="833"/>
      <c r="D86"/>
    </row>
    <row r="87" spans="1:5" s="718" customFormat="1" ht="15" customHeight="1" hidden="1" thickBot="1">
      <c r="A87" s="93">
        <f t="shared" si="2"/>
        <v>27</v>
      </c>
      <c r="C87" s="833"/>
      <c r="D87"/>
      <c r="E87" s="574" t="s">
        <v>751</v>
      </c>
    </row>
    <row r="88" spans="1:12" ht="15" customHeight="1" hidden="1" thickBot="1">
      <c r="A88" s="93">
        <f t="shared" si="2"/>
        <v>26</v>
      </c>
      <c r="D88"/>
      <c r="E88" s="203" t="s">
        <v>306</v>
      </c>
      <c r="L88" s="204"/>
    </row>
    <row r="89" spans="1:14" ht="15" customHeight="1" hidden="1" thickBot="1">
      <c r="A89" s="93">
        <f t="shared" si="2"/>
        <v>25</v>
      </c>
      <c r="D89"/>
      <c r="E89" s="205"/>
      <c r="F89" s="34"/>
      <c r="G89" s="206" t="s">
        <v>307</v>
      </c>
      <c r="H89" s="206"/>
      <c r="I89" s="206"/>
      <c r="J89" s="206"/>
      <c r="K89" s="206"/>
      <c r="L89" s="207"/>
      <c r="M89" s="34"/>
      <c r="N89" s="208"/>
    </row>
    <row r="90" spans="1:15" ht="15" customHeight="1" hidden="1" thickBot="1">
      <c r="A90" s="93">
        <f t="shared" si="2"/>
        <v>24</v>
      </c>
      <c r="D90"/>
      <c r="E90" s="119"/>
      <c r="F90" s="33"/>
      <c r="G90" s="209" t="s">
        <v>308</v>
      </c>
      <c r="H90" s="33"/>
      <c r="I90" s="33"/>
      <c r="J90" s="33"/>
      <c r="K90" s="33"/>
      <c r="L90" s="210"/>
      <c r="M90" s="33"/>
      <c r="N90" s="44"/>
      <c r="O90" s="33"/>
    </row>
    <row r="91" spans="1:15" ht="15" customHeight="1" hidden="1" thickBot="1">
      <c r="A91" s="93">
        <f t="shared" si="2"/>
        <v>23</v>
      </c>
      <c r="D91"/>
      <c r="E91" s="119"/>
      <c r="F91" s="33"/>
      <c r="G91" s="209" t="s">
        <v>309</v>
      </c>
      <c r="H91" s="209" t="s">
        <v>310</v>
      </c>
      <c r="I91" s="209"/>
      <c r="J91" s="209" t="s">
        <v>311</v>
      </c>
      <c r="K91" s="209" t="s">
        <v>312</v>
      </c>
      <c r="L91" s="209"/>
      <c r="M91" s="210"/>
      <c r="N91" s="44"/>
      <c r="O91" s="33"/>
    </row>
    <row r="92" spans="1:14" ht="15" customHeight="1" hidden="1" thickBot="1">
      <c r="A92" s="93">
        <f t="shared" si="2"/>
        <v>22</v>
      </c>
      <c r="D92"/>
      <c r="E92" s="119"/>
      <c r="F92" s="33"/>
      <c r="G92" s="209" t="s">
        <v>313</v>
      </c>
      <c r="H92" s="209" t="s">
        <v>314</v>
      </c>
      <c r="I92" s="209" t="s">
        <v>65</v>
      </c>
      <c r="J92" s="209" t="s">
        <v>315</v>
      </c>
      <c r="K92" s="209" t="s">
        <v>74</v>
      </c>
      <c r="L92" s="209"/>
      <c r="M92" s="701" t="s">
        <v>316</v>
      </c>
      <c r="N92" s="706"/>
    </row>
    <row r="93" spans="1:14" ht="15" customHeight="1" hidden="1" thickBot="1">
      <c r="A93" s="93">
        <f t="shared" si="2"/>
        <v>21</v>
      </c>
      <c r="D93"/>
      <c r="E93" s="119"/>
      <c r="F93" s="211">
        <v>0.25</v>
      </c>
      <c r="G93" s="212">
        <f aca="true" t="shared" si="4" ref="G93:K106">G$107/$F93</f>
        <v>0</v>
      </c>
      <c r="H93" s="212">
        <f t="shared" si="4"/>
        <v>0.808</v>
      </c>
      <c r="I93" s="212">
        <f t="shared" si="4"/>
        <v>1.0668</v>
      </c>
      <c r="J93" s="212">
        <f t="shared" si="4"/>
        <v>1.1144</v>
      </c>
      <c r="K93" s="212">
        <f t="shared" si="4"/>
        <v>1.3652</v>
      </c>
      <c r="L93" s="704"/>
      <c r="M93" s="702" t="s">
        <v>317</v>
      </c>
      <c r="N93" s="707"/>
    </row>
    <row r="94" spans="1:14" ht="15" customHeight="1" hidden="1" thickBot="1">
      <c r="A94" s="93">
        <f t="shared" si="2"/>
        <v>20</v>
      </c>
      <c r="D94"/>
      <c r="E94" s="273" t="s">
        <v>318</v>
      </c>
      <c r="F94" s="211">
        <v>0.3</v>
      </c>
      <c r="G94" s="212">
        <f t="shared" si="4"/>
        <v>0</v>
      </c>
      <c r="H94" s="212">
        <f t="shared" si="4"/>
        <v>0.6733333333333335</v>
      </c>
      <c r="I94" s="212">
        <f t="shared" si="4"/>
        <v>0.889</v>
      </c>
      <c r="J94" s="212">
        <f t="shared" si="4"/>
        <v>0.9286666666666668</v>
      </c>
      <c r="K94" s="212">
        <f t="shared" si="4"/>
        <v>1.1376666666666666</v>
      </c>
      <c r="L94" s="121"/>
      <c r="M94" s="703">
        <v>0.791</v>
      </c>
      <c r="N94" s="708" t="s">
        <v>319</v>
      </c>
    </row>
    <row r="95" spans="1:14" ht="15" customHeight="1" hidden="1" thickBot="1">
      <c r="A95" s="93">
        <f t="shared" si="2"/>
        <v>19</v>
      </c>
      <c r="D95"/>
      <c r="E95" s="274" t="s">
        <v>320</v>
      </c>
      <c r="F95" s="211">
        <v>0.35</v>
      </c>
      <c r="G95" s="212">
        <f t="shared" si="4"/>
        <v>0</v>
      </c>
      <c r="H95" s="212">
        <f t="shared" si="4"/>
        <v>0.5771428571428572</v>
      </c>
      <c r="I95" s="212">
        <f t="shared" si="4"/>
        <v>0.762</v>
      </c>
      <c r="J95" s="212">
        <f t="shared" si="4"/>
        <v>0.796</v>
      </c>
      <c r="K95" s="212">
        <f t="shared" si="4"/>
        <v>0.9751428571428572</v>
      </c>
      <c r="L95" s="121"/>
      <c r="M95" s="703">
        <v>0.163</v>
      </c>
      <c r="N95" s="708" t="s">
        <v>321</v>
      </c>
    </row>
    <row r="96" spans="1:14" ht="15" customHeight="1" hidden="1" thickBot="1">
      <c r="A96" s="93">
        <f t="shared" si="2"/>
        <v>18</v>
      </c>
      <c r="D96"/>
      <c r="E96" s="274" t="s">
        <v>322</v>
      </c>
      <c r="F96" s="214">
        <v>0.38</v>
      </c>
      <c r="G96" s="316">
        <f t="shared" si="4"/>
        <v>0</v>
      </c>
      <c r="H96" s="316">
        <f t="shared" si="4"/>
        <v>0.531578947368421</v>
      </c>
      <c r="I96" s="316">
        <f t="shared" si="4"/>
        <v>0.7018421052631578</v>
      </c>
      <c r="J96" s="316">
        <f t="shared" si="4"/>
        <v>0.7331578947368421</v>
      </c>
      <c r="K96" s="316">
        <f t="shared" si="4"/>
        <v>0.898157894736842</v>
      </c>
      <c r="L96" s="705"/>
      <c r="M96" s="703">
        <v>0.045</v>
      </c>
      <c r="N96" s="708" t="s">
        <v>323</v>
      </c>
    </row>
    <row r="97" spans="1:14" ht="15" customHeight="1" hidden="1" thickBot="1">
      <c r="A97" s="93">
        <f t="shared" si="2"/>
        <v>17</v>
      </c>
      <c r="D97"/>
      <c r="E97" s="213"/>
      <c r="F97" s="211">
        <v>0.4</v>
      </c>
      <c r="G97" s="212">
        <f t="shared" si="4"/>
        <v>0</v>
      </c>
      <c r="H97" s="212">
        <f t="shared" si="4"/>
        <v>0.505</v>
      </c>
      <c r="I97" s="212">
        <f t="shared" si="4"/>
        <v>0.66675</v>
      </c>
      <c r="J97" s="212">
        <f t="shared" si="4"/>
        <v>0.6965</v>
      </c>
      <c r="K97" s="212">
        <f t="shared" si="4"/>
        <v>0.85325</v>
      </c>
      <c r="L97" s="121"/>
      <c r="M97" s="703">
        <v>0.04</v>
      </c>
      <c r="N97" s="708" t="s">
        <v>324</v>
      </c>
    </row>
    <row r="98" spans="1:15" ht="15" customHeight="1" hidden="1" thickBot="1">
      <c r="A98" s="93">
        <f t="shared" si="2"/>
        <v>16</v>
      </c>
      <c r="D98"/>
      <c r="E98" s="213"/>
      <c r="F98" s="211">
        <v>0.45</v>
      </c>
      <c r="G98" s="212">
        <f t="shared" si="4"/>
        <v>0</v>
      </c>
      <c r="H98" s="212">
        <f t="shared" si="4"/>
        <v>0.4488888888888889</v>
      </c>
      <c r="I98" s="212">
        <f t="shared" si="4"/>
        <v>0.5926666666666667</v>
      </c>
      <c r="J98" s="212">
        <f t="shared" si="4"/>
        <v>0.6191111111111112</v>
      </c>
      <c r="K98" s="212">
        <f t="shared" si="4"/>
        <v>0.7584444444444444</v>
      </c>
      <c r="L98" s="121"/>
      <c r="M98" s="703">
        <v>0.419</v>
      </c>
      <c r="N98" s="708" t="s">
        <v>325</v>
      </c>
      <c r="O98" s="139"/>
    </row>
    <row r="99" spans="1:15" ht="15" customHeight="1" hidden="1" thickBot="1">
      <c r="A99" s="93">
        <f t="shared" si="2"/>
        <v>15</v>
      </c>
      <c r="D99"/>
      <c r="E99" s="213"/>
      <c r="F99" s="211">
        <v>0.5</v>
      </c>
      <c r="G99" s="212">
        <f t="shared" si="4"/>
        <v>0</v>
      </c>
      <c r="H99" s="212">
        <f t="shared" si="4"/>
        <v>0.404</v>
      </c>
      <c r="I99" s="212">
        <f t="shared" si="4"/>
        <v>0.5334</v>
      </c>
      <c r="J99" s="212">
        <f t="shared" si="4"/>
        <v>0.5572</v>
      </c>
      <c r="K99" s="212">
        <f t="shared" si="4"/>
        <v>0.6826</v>
      </c>
      <c r="L99" s="121"/>
      <c r="M99" s="703">
        <v>0.716</v>
      </c>
      <c r="N99" s="708" t="s">
        <v>326</v>
      </c>
      <c r="O99" s="484"/>
    </row>
    <row r="100" spans="1:14" ht="15" customHeight="1" hidden="1" thickBot="1">
      <c r="A100" s="93">
        <f t="shared" si="2"/>
        <v>14</v>
      </c>
      <c r="D100"/>
      <c r="E100" s="213"/>
      <c r="F100" s="211">
        <v>0.55</v>
      </c>
      <c r="G100" s="212">
        <f t="shared" si="4"/>
        <v>0</v>
      </c>
      <c r="H100" s="212">
        <f t="shared" si="4"/>
        <v>0.36727272727272725</v>
      </c>
      <c r="I100" s="212">
        <f t="shared" si="4"/>
        <v>0.48490909090909085</v>
      </c>
      <c r="J100" s="212">
        <f t="shared" si="4"/>
        <v>0.5065454545454545</v>
      </c>
      <c r="K100" s="212">
        <f t="shared" si="4"/>
        <v>0.6205454545454545</v>
      </c>
      <c r="L100" s="121"/>
      <c r="M100" s="703">
        <v>0.321</v>
      </c>
      <c r="N100" s="708" t="s">
        <v>327</v>
      </c>
    </row>
    <row r="101" spans="1:14" ht="15" customHeight="1" hidden="1" thickBot="1">
      <c r="A101" s="93">
        <f t="shared" si="2"/>
        <v>13</v>
      </c>
      <c r="D101"/>
      <c r="E101" s="213"/>
      <c r="F101" s="211">
        <v>0.6</v>
      </c>
      <c r="G101" s="212">
        <f t="shared" si="4"/>
        <v>0</v>
      </c>
      <c r="H101" s="212">
        <f t="shared" si="4"/>
        <v>0.3366666666666667</v>
      </c>
      <c r="I101" s="212">
        <f t="shared" si="4"/>
        <v>0.4445</v>
      </c>
      <c r="J101" s="212">
        <f t="shared" si="4"/>
        <v>0.4643333333333334</v>
      </c>
      <c r="K101" s="212">
        <f t="shared" si="4"/>
        <v>0.5688333333333333</v>
      </c>
      <c r="L101" s="121"/>
      <c r="M101" s="703">
        <v>1.312</v>
      </c>
      <c r="N101" s="708" t="s">
        <v>328</v>
      </c>
    </row>
    <row r="102" spans="1:14" ht="15" customHeight="1" hidden="1" thickBot="1">
      <c r="A102" s="93">
        <f t="shared" si="2"/>
        <v>12</v>
      </c>
      <c r="D102"/>
      <c r="E102" s="213"/>
      <c r="F102" s="211">
        <v>0.65</v>
      </c>
      <c r="G102" s="212">
        <f t="shared" si="4"/>
        <v>0</v>
      </c>
      <c r="H102" s="212">
        <f t="shared" si="4"/>
        <v>0.3107692307692308</v>
      </c>
      <c r="I102" s="212">
        <f t="shared" si="4"/>
        <v>0.41030769230769226</v>
      </c>
      <c r="J102" s="212">
        <f t="shared" si="4"/>
        <v>0.4286153846153846</v>
      </c>
      <c r="K102" s="212">
        <f t="shared" si="4"/>
        <v>0.525076923076923</v>
      </c>
      <c r="L102" s="121"/>
      <c r="M102" s="703">
        <v>0.508</v>
      </c>
      <c r="N102" s="708" t="s">
        <v>329</v>
      </c>
    </row>
    <row r="103" spans="1:15" ht="15" customHeight="1" hidden="1" thickBot="1">
      <c r="A103" s="93">
        <f t="shared" si="2"/>
        <v>11</v>
      </c>
      <c r="D103"/>
      <c r="E103" s="213"/>
      <c r="F103" s="211">
        <v>0.7</v>
      </c>
      <c r="G103" s="212">
        <f t="shared" si="4"/>
        <v>0</v>
      </c>
      <c r="H103" s="212">
        <f t="shared" si="4"/>
        <v>0.2885714285714286</v>
      </c>
      <c r="I103" s="212">
        <f t="shared" si="4"/>
        <v>0.381</v>
      </c>
      <c r="J103" s="212">
        <f t="shared" si="4"/>
        <v>0.398</v>
      </c>
      <c r="K103" s="212">
        <f t="shared" si="4"/>
        <v>0.4875714285714286</v>
      </c>
      <c r="L103" s="121"/>
      <c r="M103" s="703">
        <v>0.002</v>
      </c>
      <c r="N103" s="708" t="s">
        <v>330</v>
      </c>
      <c r="O103" s="485"/>
    </row>
    <row r="104" spans="1:14" ht="15" customHeight="1" hidden="1" thickBot="1">
      <c r="A104" s="93">
        <f t="shared" si="2"/>
        <v>10</v>
      </c>
      <c r="D104"/>
      <c r="E104" s="213"/>
      <c r="F104" s="211">
        <v>0.75</v>
      </c>
      <c r="G104" s="212">
        <f t="shared" si="4"/>
        <v>0</v>
      </c>
      <c r="H104" s="212">
        <f t="shared" si="4"/>
        <v>0.26933333333333337</v>
      </c>
      <c r="I104" s="212">
        <f t="shared" si="4"/>
        <v>0.35559999999999997</v>
      </c>
      <c r="J104" s="212">
        <f t="shared" si="4"/>
        <v>0.37146666666666667</v>
      </c>
      <c r="K104" s="212">
        <f t="shared" si="4"/>
        <v>0.4550666666666667</v>
      </c>
      <c r="L104" s="121"/>
      <c r="M104" s="703">
        <v>0.609</v>
      </c>
      <c r="N104" s="708" t="s">
        <v>331</v>
      </c>
    </row>
    <row r="105" spans="1:14" ht="15" customHeight="1" hidden="1" thickBot="1">
      <c r="A105" s="93">
        <f t="shared" si="2"/>
        <v>9</v>
      </c>
      <c r="D105"/>
      <c r="E105" s="213"/>
      <c r="F105" s="211">
        <v>0.8</v>
      </c>
      <c r="G105" s="212">
        <f t="shared" si="4"/>
        <v>0</v>
      </c>
      <c r="H105" s="212">
        <f t="shared" si="4"/>
        <v>0.2525</v>
      </c>
      <c r="I105" s="212">
        <f t="shared" si="4"/>
        <v>0.333375</v>
      </c>
      <c r="J105" s="212">
        <f t="shared" si="4"/>
        <v>0.34825</v>
      </c>
      <c r="K105" s="212">
        <f t="shared" si="4"/>
        <v>0.426625</v>
      </c>
      <c r="L105" s="121"/>
      <c r="M105" s="703">
        <v>0.477</v>
      </c>
      <c r="N105" s="708" t="s">
        <v>332</v>
      </c>
    </row>
    <row r="106" spans="1:14" ht="15" customHeight="1" hidden="1" thickBot="1">
      <c r="A106" s="93">
        <f t="shared" si="2"/>
        <v>8</v>
      </c>
      <c r="D106"/>
      <c r="E106" s="213"/>
      <c r="F106" s="211">
        <v>0.85</v>
      </c>
      <c r="G106" s="212">
        <f t="shared" si="4"/>
        <v>0</v>
      </c>
      <c r="H106" s="212">
        <f t="shared" si="4"/>
        <v>0.23764705882352943</v>
      </c>
      <c r="I106" s="212">
        <f t="shared" si="4"/>
        <v>0.31376470588235295</v>
      </c>
      <c r="J106" s="212">
        <f t="shared" si="4"/>
        <v>0.32776470588235296</v>
      </c>
      <c r="K106" s="212">
        <f t="shared" si="4"/>
        <v>0.40152941176470586</v>
      </c>
      <c r="L106" s="121"/>
      <c r="M106" s="703">
        <v>0.503</v>
      </c>
      <c r="N106" s="708" t="s">
        <v>333</v>
      </c>
    </row>
    <row r="107" spans="1:14" ht="15" customHeight="1" hidden="1" thickBot="1">
      <c r="A107" s="93">
        <f t="shared" si="2"/>
        <v>7</v>
      </c>
      <c r="D107"/>
      <c r="E107" s="213"/>
      <c r="F107" s="211">
        <v>1</v>
      </c>
      <c r="G107" s="212">
        <v>0</v>
      </c>
      <c r="H107" s="212">
        <v>0.202</v>
      </c>
      <c r="I107" s="212">
        <v>0.2667</v>
      </c>
      <c r="J107" s="212">
        <v>0.2786</v>
      </c>
      <c r="K107" s="212">
        <v>0.3413</v>
      </c>
      <c r="L107" s="121"/>
      <c r="M107" s="210"/>
      <c r="N107" s="44"/>
    </row>
    <row r="108" spans="1:14" ht="15" customHeight="1" hidden="1" thickBot="1">
      <c r="A108" s="93">
        <f t="shared" si="2"/>
        <v>6</v>
      </c>
      <c r="D108"/>
      <c r="E108" s="213"/>
      <c r="F108" s="33"/>
      <c r="G108" s="215" t="s">
        <v>334</v>
      </c>
      <c r="H108" s="215"/>
      <c r="I108" s="215"/>
      <c r="J108" s="215"/>
      <c r="K108" s="215"/>
      <c r="L108" s="210"/>
      <c r="M108" s="33"/>
      <c r="N108" s="44"/>
    </row>
    <row r="109" spans="1:14" ht="15" customHeight="1" hidden="1" thickBot="1">
      <c r="A109" s="93">
        <f t="shared" si="2"/>
        <v>5</v>
      </c>
      <c r="D109"/>
      <c r="E109" s="119"/>
      <c r="F109" s="33"/>
      <c r="G109" s="215" t="s">
        <v>335</v>
      </c>
      <c r="H109" s="215"/>
      <c r="I109" s="215"/>
      <c r="J109" s="215"/>
      <c r="K109" s="215"/>
      <c r="L109" s="210"/>
      <c r="M109" s="33"/>
      <c r="N109" s="44"/>
    </row>
    <row r="110" spans="1:14" ht="15" customHeight="1" hidden="1" thickBot="1">
      <c r="A110" s="93">
        <f t="shared" si="2"/>
        <v>4</v>
      </c>
      <c r="D110"/>
      <c r="E110" s="119"/>
      <c r="F110" s="33"/>
      <c r="G110" s="216" t="s">
        <v>336</v>
      </c>
      <c r="H110" s="215"/>
      <c r="I110" s="215"/>
      <c r="J110" s="215"/>
      <c r="K110" s="215"/>
      <c r="L110" s="210"/>
      <c r="M110" s="33"/>
      <c r="N110" s="44"/>
    </row>
    <row r="111" spans="1:14" ht="15" customHeight="1" hidden="1" thickBot="1">
      <c r="A111" s="93">
        <f t="shared" si="2"/>
        <v>3</v>
      </c>
      <c r="D111"/>
      <c r="E111" s="119"/>
      <c r="F111" s="33"/>
      <c r="G111" s="217" t="s">
        <v>337</v>
      </c>
      <c r="H111" s="33"/>
      <c r="I111" s="33"/>
      <c r="J111" s="33"/>
      <c r="K111" s="33"/>
      <c r="L111" s="210"/>
      <c r="M111" s="33"/>
      <c r="N111" s="44"/>
    </row>
    <row r="112" spans="1:14" ht="15" customHeight="1" hidden="1" thickBot="1">
      <c r="A112" s="93">
        <f t="shared" si="2"/>
        <v>2</v>
      </c>
      <c r="D112"/>
      <c r="E112" s="116"/>
      <c r="F112" s="117"/>
      <c r="G112" s="117"/>
      <c r="H112" s="117"/>
      <c r="I112" s="117"/>
      <c r="J112" s="117"/>
      <c r="K112" s="117"/>
      <c r="L112" s="218"/>
      <c r="M112" s="117"/>
      <c r="N112" s="118"/>
    </row>
    <row r="113" spans="1:10" ht="15" customHeight="1" hidden="1" thickBot="1">
      <c r="A113" s="93">
        <f t="shared" si="2"/>
        <v>1</v>
      </c>
      <c r="B113" s="97"/>
      <c r="C113" s="97"/>
      <c r="D113"/>
      <c r="E113" s="97" t="s">
        <v>338</v>
      </c>
      <c r="F113" s="97"/>
      <c r="G113" s="97"/>
      <c r="H113" s="97"/>
      <c r="I113" s="97"/>
      <c r="J113" s="97"/>
    </row>
    <row r="114" spans="1:4" s="139" customFormat="1" ht="27" customHeight="1" thickBot="1">
      <c r="A114" s="93">
        <f t="shared" si="2"/>
        <v>35</v>
      </c>
      <c r="C114" s="330"/>
      <c r="D114" s="331" t="s">
        <v>409</v>
      </c>
    </row>
    <row r="115" spans="1:4" s="718" customFormat="1" ht="15" customHeight="1" hidden="1" thickBot="1">
      <c r="A115" s="93">
        <f t="shared" si="2"/>
        <v>34</v>
      </c>
      <c r="C115" s="833"/>
      <c r="D115"/>
    </row>
    <row r="116" spans="1:5" s="718" customFormat="1" ht="15" customHeight="1" hidden="1" thickBot="1">
      <c r="A116" s="93">
        <f t="shared" si="2"/>
        <v>33</v>
      </c>
      <c r="C116" s="833"/>
      <c r="D116"/>
      <c r="E116" s="574" t="s">
        <v>752</v>
      </c>
    </row>
    <row r="117" spans="1:17" ht="15" customHeight="1" hidden="1" thickBot="1">
      <c r="A117" s="93">
        <f t="shared" si="2"/>
        <v>32</v>
      </c>
      <c r="D117"/>
      <c r="E117" s="828" t="s">
        <v>339</v>
      </c>
      <c r="F117" s="829"/>
      <c r="G117" s="829"/>
      <c r="H117" s="829" t="s">
        <v>254</v>
      </c>
      <c r="I117" s="34"/>
      <c r="J117" s="829"/>
      <c r="K117" s="829"/>
      <c r="L117" s="830"/>
      <c r="M117" s="484"/>
      <c r="N117" s="484"/>
      <c r="O117" s="486"/>
      <c r="P117" s="484"/>
      <c r="Q117" s="484"/>
    </row>
    <row r="118" spans="1:15" ht="15" customHeight="1" hidden="1" thickBot="1">
      <c r="A118" s="93">
        <f t="shared" si="2"/>
        <v>31</v>
      </c>
      <c r="D118"/>
      <c r="E118" s="119" t="s">
        <v>340</v>
      </c>
      <c r="F118" s="33"/>
      <c r="G118" s="558" t="str">
        <f>"="</f>
        <v>=</v>
      </c>
      <c r="H118" s="33">
        <f>H119/16</f>
        <v>28.35</v>
      </c>
      <c r="I118" s="33" t="s">
        <v>304</v>
      </c>
      <c r="J118" s="33"/>
      <c r="K118" s="33"/>
      <c r="L118" s="44"/>
      <c r="M118" s="484"/>
      <c r="O118" s="486"/>
    </row>
    <row r="119" spans="1:15" ht="15" customHeight="1" hidden="1" thickBot="1">
      <c r="A119" s="93">
        <f t="shared" si="2"/>
        <v>30</v>
      </c>
      <c r="D119"/>
      <c r="E119" s="119" t="s">
        <v>341</v>
      </c>
      <c r="F119" s="33" t="s">
        <v>342</v>
      </c>
      <c r="G119" s="558" t="str">
        <f>"="</f>
        <v>=</v>
      </c>
      <c r="H119" s="33">
        <v>453.6</v>
      </c>
      <c r="I119" s="33" t="s">
        <v>304</v>
      </c>
      <c r="J119" s="558" t="s">
        <v>261</v>
      </c>
      <c r="K119" s="123">
        <f>H120/2000</f>
        <v>0.4536</v>
      </c>
      <c r="L119" s="44" t="s">
        <v>343</v>
      </c>
      <c r="M119" s="484"/>
      <c r="O119" s="486"/>
    </row>
    <row r="120" spans="1:15" ht="15" customHeight="1" hidden="1" thickBot="1">
      <c r="A120" s="93">
        <f t="shared" si="2"/>
        <v>29</v>
      </c>
      <c r="D120"/>
      <c r="E120" s="119" t="s">
        <v>344</v>
      </c>
      <c r="F120" s="33" t="s">
        <v>345</v>
      </c>
      <c r="G120" s="558" t="str">
        <f>"="</f>
        <v>=</v>
      </c>
      <c r="H120" s="124">
        <v>907.2</v>
      </c>
      <c r="I120" s="33" t="s">
        <v>68</v>
      </c>
      <c r="J120" s="558" t="s">
        <v>261</v>
      </c>
      <c r="K120" s="124">
        <v>0.9072</v>
      </c>
      <c r="L120" s="44" t="s">
        <v>346</v>
      </c>
      <c r="M120" s="484"/>
      <c r="O120" s="486"/>
    </row>
    <row r="121" spans="1:15" s="485" customFormat="1" ht="15" customHeight="1" hidden="1" thickBot="1">
      <c r="A121" s="93">
        <f t="shared" si="2"/>
        <v>28</v>
      </c>
      <c r="D121"/>
      <c r="E121" s="122" t="s">
        <v>347</v>
      </c>
      <c r="F121" s="123" t="s">
        <v>348</v>
      </c>
      <c r="G121" s="939" t="str">
        <f>"="</f>
        <v>=</v>
      </c>
      <c r="H121" s="123">
        <f>H120*2240/2000</f>
        <v>1016.064</v>
      </c>
      <c r="I121" s="123" t="s">
        <v>68</v>
      </c>
      <c r="J121" s="939"/>
      <c r="K121" s="123">
        <f>K120*2240/2000</f>
        <v>1.0160639999999999</v>
      </c>
      <c r="L121" s="835" t="s">
        <v>346</v>
      </c>
      <c r="M121" s="203"/>
      <c r="O121"/>
    </row>
    <row r="122" spans="1:13" ht="15" customHeight="1" hidden="1" thickBot="1">
      <c r="A122" s="93">
        <f t="shared" si="2"/>
        <v>27</v>
      </c>
      <c r="D122"/>
      <c r="E122" s="119"/>
      <c r="F122" s="33"/>
      <c r="G122" s="558"/>
      <c r="H122" s="33"/>
      <c r="I122" s="33"/>
      <c r="J122" s="558"/>
      <c r="K122" s="33"/>
      <c r="L122" s="44"/>
      <c r="M122" s="484"/>
    </row>
    <row r="123" spans="1:13" ht="15" customHeight="1" hidden="1" thickBot="1">
      <c r="A123" s="93">
        <f t="shared" si="2"/>
        <v>26</v>
      </c>
      <c r="D123"/>
      <c r="E123" s="836" t="s">
        <v>349</v>
      </c>
      <c r="F123" s="275"/>
      <c r="G123" s="940"/>
      <c r="H123" s="275" t="s">
        <v>254</v>
      </c>
      <c r="I123" s="33"/>
      <c r="J123" s="558"/>
      <c r="K123" s="33"/>
      <c r="L123" s="44"/>
      <c r="M123" s="484"/>
    </row>
    <row r="124" spans="1:13" ht="15" customHeight="1" hidden="1" thickBot="1">
      <c r="A124" s="93">
        <f t="shared" si="2"/>
        <v>25</v>
      </c>
      <c r="D124"/>
      <c r="E124" s="119" t="s">
        <v>350</v>
      </c>
      <c r="F124" s="837" t="s">
        <v>351</v>
      </c>
      <c r="G124" s="558" t="str">
        <f aca="true" t="shared" si="5" ref="G124:G129">"="</f>
        <v>=</v>
      </c>
      <c r="H124" s="838">
        <v>0.028317</v>
      </c>
      <c r="I124" s="33" t="s">
        <v>352</v>
      </c>
      <c r="J124" s="558" t="s">
        <v>261</v>
      </c>
      <c r="K124" s="839">
        <f>1*7.48*3.8</f>
        <v>28.424</v>
      </c>
      <c r="L124" s="44" t="s">
        <v>63</v>
      </c>
      <c r="M124" s="484"/>
    </row>
    <row r="125" spans="1:13" ht="15" customHeight="1" hidden="1" thickBot="1">
      <c r="A125" s="93">
        <f t="shared" si="2"/>
        <v>24</v>
      </c>
      <c r="D125"/>
      <c r="E125" s="119" t="s">
        <v>353</v>
      </c>
      <c r="F125" s="837" t="s">
        <v>354</v>
      </c>
      <c r="G125" s="558" t="str">
        <f t="shared" si="5"/>
        <v>=</v>
      </c>
      <c r="H125" s="838">
        <v>0.764559</v>
      </c>
      <c r="I125" s="33" t="s">
        <v>352</v>
      </c>
      <c r="J125" s="558" t="s">
        <v>261</v>
      </c>
      <c r="K125" s="839">
        <f>27*K124</f>
        <v>767.448</v>
      </c>
      <c r="L125" s="44" t="s">
        <v>63</v>
      </c>
      <c r="M125" s="484"/>
    </row>
    <row r="126" spans="1:15" ht="15" customHeight="1" hidden="1" thickBot="1">
      <c r="A126" s="93">
        <f t="shared" si="2"/>
        <v>23</v>
      </c>
      <c r="D126"/>
      <c r="E126" s="119" t="s">
        <v>355</v>
      </c>
      <c r="F126" s="33" t="s">
        <v>356</v>
      </c>
      <c r="G126" s="558" t="str">
        <f t="shared" si="5"/>
        <v>=</v>
      </c>
      <c r="H126" s="840">
        <f>H127/4</f>
        <v>0.0009475</v>
      </c>
      <c r="I126" s="33" t="s">
        <v>352</v>
      </c>
      <c r="J126" s="558" t="s">
        <v>261</v>
      </c>
      <c r="K126" s="840">
        <f>K127/4</f>
        <v>0.94625</v>
      </c>
      <c r="L126" s="44" t="s">
        <v>63</v>
      </c>
      <c r="M126" s="484"/>
      <c r="O126" s="486"/>
    </row>
    <row r="127" spans="1:15" ht="15" customHeight="1" hidden="1" thickBot="1">
      <c r="A127" s="93">
        <f t="shared" si="2"/>
        <v>22</v>
      </c>
      <c r="D127"/>
      <c r="E127" s="119" t="s">
        <v>357</v>
      </c>
      <c r="F127" s="33" t="s">
        <v>358</v>
      </c>
      <c r="G127" s="558" t="str">
        <f t="shared" si="5"/>
        <v>=</v>
      </c>
      <c r="H127" s="838">
        <v>0.00379</v>
      </c>
      <c r="I127" s="33" t="s">
        <v>352</v>
      </c>
      <c r="J127" s="558" t="s">
        <v>261</v>
      </c>
      <c r="K127" s="839">
        <v>3.785</v>
      </c>
      <c r="L127" s="44" t="s">
        <v>63</v>
      </c>
      <c r="M127" s="484"/>
      <c r="O127" s="486"/>
    </row>
    <row r="128" spans="1:13" ht="15" customHeight="1" hidden="1" thickBot="1">
      <c r="A128" s="93">
        <f t="shared" si="2"/>
        <v>21</v>
      </c>
      <c r="D128"/>
      <c r="E128" s="119" t="s">
        <v>359</v>
      </c>
      <c r="F128" s="837" t="s">
        <v>360</v>
      </c>
      <c r="G128" s="558" t="str">
        <f t="shared" si="5"/>
        <v>=</v>
      </c>
      <c r="H128" s="33">
        <f>H127*1.201</f>
        <v>0.00455179</v>
      </c>
      <c r="I128" s="33" t="s">
        <v>352</v>
      </c>
      <c r="J128" s="558" t="s">
        <v>261</v>
      </c>
      <c r="K128" s="33">
        <f>1.201*K127</f>
        <v>4.545785</v>
      </c>
      <c r="L128" s="44" t="s">
        <v>63</v>
      </c>
      <c r="M128" s="484"/>
    </row>
    <row r="129" spans="1:12" ht="15" customHeight="1" hidden="1" thickBot="1">
      <c r="A129" s="93">
        <f t="shared" si="2"/>
        <v>20</v>
      </c>
      <c r="E129" s="119" t="s">
        <v>361</v>
      </c>
      <c r="F129" s="33" t="s">
        <v>362</v>
      </c>
      <c r="G129" s="558" t="str">
        <f t="shared" si="5"/>
        <v>=</v>
      </c>
      <c r="H129" s="33">
        <f>42*H127</f>
        <v>0.15918</v>
      </c>
      <c r="I129" s="33" t="s">
        <v>352</v>
      </c>
      <c r="J129" s="558" t="s">
        <v>261</v>
      </c>
      <c r="K129" s="33">
        <f>42*K127</f>
        <v>158.97</v>
      </c>
      <c r="L129" s="44" t="s">
        <v>63</v>
      </c>
    </row>
    <row r="130" spans="1:12" ht="15" customHeight="1" hidden="1" thickBot="1">
      <c r="A130" s="93">
        <f t="shared" si="2"/>
        <v>19</v>
      </c>
      <c r="E130" s="119"/>
      <c r="F130" s="33"/>
      <c r="G130" s="558"/>
      <c r="H130" s="33"/>
      <c r="I130" s="33"/>
      <c r="J130" s="558"/>
      <c r="K130" s="33"/>
      <c r="L130" s="44"/>
    </row>
    <row r="131" spans="1:12" ht="15" customHeight="1" hidden="1" thickBot="1">
      <c r="A131" s="93">
        <f t="shared" si="2"/>
        <v>18</v>
      </c>
      <c r="E131" s="836" t="s">
        <v>363</v>
      </c>
      <c r="F131" s="275"/>
      <c r="G131" s="940"/>
      <c r="H131" s="275" t="s">
        <v>254</v>
      </c>
      <c r="I131" s="33"/>
      <c r="J131" s="33"/>
      <c r="K131" s="324" t="s">
        <v>364</v>
      </c>
      <c r="L131" s="44"/>
    </row>
    <row r="132" spans="1:17" ht="15" customHeight="1" hidden="1" thickBot="1">
      <c r="A132" s="93">
        <f t="shared" si="2"/>
        <v>17</v>
      </c>
      <c r="E132" s="119" t="s">
        <v>242</v>
      </c>
      <c r="F132" s="33" t="s">
        <v>365</v>
      </c>
      <c r="G132" s="558" t="str">
        <f aca="true" t="shared" si="6" ref="G132:G138">"="</f>
        <v>=</v>
      </c>
      <c r="H132" s="33">
        <v>1055</v>
      </c>
      <c r="I132" s="33" t="s">
        <v>366</v>
      </c>
      <c r="J132" s="33"/>
      <c r="K132" s="215" t="s">
        <v>367</v>
      </c>
      <c r="L132" s="841"/>
      <c r="M132" s="486"/>
      <c r="N132" s="486"/>
      <c r="P132" s="486"/>
      <c r="Q132" s="486"/>
    </row>
    <row r="133" spans="1:17" ht="15" customHeight="1" hidden="1" thickBot="1">
      <c r="A133" s="93">
        <f t="shared" si="2"/>
        <v>16</v>
      </c>
      <c r="E133" s="119" t="s">
        <v>368</v>
      </c>
      <c r="F133" s="33" t="s">
        <v>369</v>
      </c>
      <c r="G133" s="558" t="str">
        <f t="shared" si="6"/>
        <v>=</v>
      </c>
      <c r="H133" s="33">
        <v>0.1055</v>
      </c>
      <c r="I133" s="33" t="s">
        <v>305</v>
      </c>
      <c r="J133" s="33"/>
      <c r="K133" s="215" t="s">
        <v>370</v>
      </c>
      <c r="L133" s="841"/>
      <c r="M133" s="486"/>
      <c r="N133" s="486"/>
      <c r="P133" s="486"/>
      <c r="Q133" s="486"/>
    </row>
    <row r="134" spans="1:17" ht="15" customHeight="1" hidden="1" thickBot="1">
      <c r="A134" s="93">
        <f t="shared" si="2"/>
        <v>15</v>
      </c>
      <c r="E134" s="119" t="s">
        <v>371</v>
      </c>
      <c r="F134" s="33" t="s">
        <v>372</v>
      </c>
      <c r="G134" s="558" t="str">
        <f t="shared" si="6"/>
        <v>=</v>
      </c>
      <c r="H134" s="33">
        <v>1.055</v>
      </c>
      <c r="I134" s="33" t="s">
        <v>305</v>
      </c>
      <c r="J134" s="33"/>
      <c r="K134" s="33"/>
      <c r="L134" s="841"/>
      <c r="M134" s="486"/>
      <c r="N134" s="486"/>
      <c r="P134" s="486"/>
      <c r="Q134" s="486"/>
    </row>
    <row r="135" spans="1:17" ht="15" customHeight="1" hidden="1" thickBot="1">
      <c r="A135" s="93">
        <f aca="true" t="shared" si="7" ref="A135:A198">IF(ISTEXT(D136),1,1+A136)</f>
        <v>14</v>
      </c>
      <c r="E135" s="119" t="s">
        <v>371</v>
      </c>
      <c r="F135" s="33" t="s">
        <v>373</v>
      </c>
      <c r="G135" s="558" t="str">
        <f t="shared" si="6"/>
        <v>=</v>
      </c>
      <c r="H135" s="33">
        <v>1.055</v>
      </c>
      <c r="I135" s="33" t="s">
        <v>305</v>
      </c>
      <c r="J135" s="33"/>
      <c r="K135" s="215" t="s">
        <v>374</v>
      </c>
      <c r="L135" s="841"/>
      <c r="M135" s="486"/>
      <c r="N135" s="486"/>
      <c r="P135" s="486"/>
      <c r="Q135" s="486"/>
    </row>
    <row r="136" spans="1:17" ht="15" customHeight="1" hidden="1" thickBot="1">
      <c r="A136" s="93">
        <f t="shared" si="7"/>
        <v>13</v>
      </c>
      <c r="E136" s="119" t="s">
        <v>375</v>
      </c>
      <c r="F136" s="33" t="s">
        <v>376</v>
      </c>
      <c r="G136" s="558" t="str">
        <f t="shared" si="6"/>
        <v>=</v>
      </c>
      <c r="H136" s="33">
        <v>3.6</v>
      </c>
      <c r="I136" s="33" t="s">
        <v>377</v>
      </c>
      <c r="J136" s="33"/>
      <c r="K136" s="215" t="s">
        <v>378</v>
      </c>
      <c r="L136" s="841"/>
      <c r="M136" s="486"/>
      <c r="N136" s="486"/>
      <c r="P136" s="486"/>
      <c r="Q136" s="486"/>
    </row>
    <row r="137" spans="1:12" ht="15" customHeight="1" hidden="1" thickBot="1">
      <c r="A137" s="93">
        <f t="shared" si="7"/>
        <v>12</v>
      </c>
      <c r="E137" s="119" t="s">
        <v>379</v>
      </c>
      <c r="F137" s="33" t="s">
        <v>380</v>
      </c>
      <c r="G137" s="558" t="str">
        <f t="shared" si="6"/>
        <v>=</v>
      </c>
      <c r="H137" s="33">
        <v>3.6</v>
      </c>
      <c r="I137" s="33" t="s">
        <v>305</v>
      </c>
      <c r="J137" s="33"/>
      <c r="K137" s="33"/>
      <c r="L137" s="44"/>
    </row>
    <row r="138" spans="1:12" ht="15" customHeight="1" hidden="1" thickBot="1">
      <c r="A138" s="93">
        <f t="shared" si="7"/>
        <v>11</v>
      </c>
      <c r="E138" s="119" t="s">
        <v>381</v>
      </c>
      <c r="F138" s="33" t="s">
        <v>382</v>
      </c>
      <c r="G138" s="558" t="str">
        <f t="shared" si="6"/>
        <v>=</v>
      </c>
      <c r="H138" s="33">
        <v>1.055</v>
      </c>
      <c r="I138" s="33" t="s">
        <v>383</v>
      </c>
      <c r="J138" s="33"/>
      <c r="K138" s="215" t="s">
        <v>384</v>
      </c>
      <c r="L138" s="44"/>
    </row>
    <row r="139" spans="1:12" ht="15" customHeight="1" hidden="1" thickBot="1">
      <c r="A139" s="93">
        <f t="shared" si="7"/>
        <v>10</v>
      </c>
      <c r="E139" s="119"/>
      <c r="F139" s="33"/>
      <c r="G139" s="33"/>
      <c r="H139" s="33"/>
      <c r="I139" s="33"/>
      <c r="J139" s="33"/>
      <c r="K139" s="33" t="s">
        <v>385</v>
      </c>
      <c r="L139" s="44"/>
    </row>
    <row r="140" spans="1:12" ht="15" customHeight="1" hidden="1" thickBot="1">
      <c r="A140" s="93">
        <f t="shared" si="7"/>
        <v>9</v>
      </c>
      <c r="E140" s="842" t="s">
        <v>386</v>
      </c>
      <c r="F140" s="33"/>
      <c r="G140" s="33"/>
      <c r="H140" s="33"/>
      <c r="I140" s="33"/>
      <c r="J140" s="33"/>
      <c r="K140" s="33"/>
      <c r="L140" s="44"/>
    </row>
    <row r="141" spans="1:12" ht="15" customHeight="1" hidden="1" thickBot="1">
      <c r="A141" s="93">
        <f t="shared" si="7"/>
        <v>8</v>
      </c>
      <c r="E141" s="119" t="s">
        <v>387</v>
      </c>
      <c r="F141" s="33" t="s">
        <v>388</v>
      </c>
      <c r="G141" s="33"/>
      <c r="H141" s="33"/>
      <c r="I141" s="33"/>
      <c r="J141" s="33"/>
      <c r="K141" s="33" t="s">
        <v>389</v>
      </c>
      <c r="L141" s="44"/>
    </row>
    <row r="142" spans="1:16" ht="15" customHeight="1" hidden="1" thickBot="1">
      <c r="A142" s="93">
        <f t="shared" si="7"/>
        <v>7</v>
      </c>
      <c r="E142" s="119" t="s">
        <v>390</v>
      </c>
      <c r="F142" s="33" t="s">
        <v>391</v>
      </c>
      <c r="G142" s="33"/>
      <c r="H142" s="33"/>
      <c r="I142" s="33"/>
      <c r="J142" s="33"/>
      <c r="K142" s="215" t="s">
        <v>392</v>
      </c>
      <c r="L142" s="841"/>
      <c r="M142" s="486"/>
      <c r="N142" s="486"/>
      <c r="P142" s="486"/>
    </row>
    <row r="143" spans="1:16" ht="15" customHeight="1" hidden="1" thickBot="1">
      <c r="A143" s="93">
        <f t="shared" si="7"/>
        <v>6</v>
      </c>
      <c r="E143" s="119" t="s">
        <v>393</v>
      </c>
      <c r="F143" s="33" t="s">
        <v>394</v>
      </c>
      <c r="G143" s="33"/>
      <c r="H143" s="33"/>
      <c r="I143" s="33"/>
      <c r="J143" s="33"/>
      <c r="K143" s="215" t="s">
        <v>395</v>
      </c>
      <c r="L143" s="841"/>
      <c r="M143" s="486"/>
      <c r="N143" s="486"/>
      <c r="P143" s="486"/>
    </row>
    <row r="144" spans="1:12" ht="15" customHeight="1" hidden="1" thickBot="1">
      <c r="A144" s="93">
        <f t="shared" si="7"/>
        <v>5</v>
      </c>
      <c r="E144" s="119" t="s">
        <v>396</v>
      </c>
      <c r="F144" s="33" t="s">
        <v>397</v>
      </c>
      <c r="G144" s="33"/>
      <c r="H144" s="33"/>
      <c r="I144" s="33"/>
      <c r="J144" s="33"/>
      <c r="K144" s="33" t="s">
        <v>398</v>
      </c>
      <c r="L144" s="44"/>
    </row>
    <row r="145" spans="1:12" ht="15" customHeight="1" hidden="1" thickBot="1">
      <c r="A145" s="93">
        <f t="shared" si="7"/>
        <v>4</v>
      </c>
      <c r="E145" s="119" t="s">
        <v>399</v>
      </c>
      <c r="F145" s="33" t="s">
        <v>400</v>
      </c>
      <c r="G145" s="33"/>
      <c r="H145" s="33"/>
      <c r="I145" s="33"/>
      <c r="J145" s="33"/>
      <c r="K145" s="33"/>
      <c r="L145" s="44"/>
    </row>
    <row r="146" spans="1:12" ht="15" customHeight="1" hidden="1" thickBot="1">
      <c r="A146" s="93">
        <f t="shared" si="7"/>
        <v>3</v>
      </c>
      <c r="E146" s="119" t="s">
        <v>401</v>
      </c>
      <c r="F146" s="33" t="s">
        <v>402</v>
      </c>
      <c r="G146" s="33"/>
      <c r="H146" s="33"/>
      <c r="I146" s="33"/>
      <c r="J146" s="33"/>
      <c r="K146" s="33"/>
      <c r="L146" s="44"/>
    </row>
    <row r="147" spans="1:12" ht="15" customHeight="1" hidden="1" thickBot="1">
      <c r="A147" s="93">
        <f t="shared" si="7"/>
        <v>2</v>
      </c>
      <c r="E147" s="116" t="s">
        <v>403</v>
      </c>
      <c r="F147" s="117"/>
      <c r="G147" s="117"/>
      <c r="H147" s="117"/>
      <c r="I147" s="117"/>
      <c r="J147" s="117"/>
      <c r="K147" s="117"/>
      <c r="L147" s="118"/>
    </row>
    <row r="148" spans="1:5" ht="15" customHeight="1" hidden="1" thickBot="1">
      <c r="A148" s="93">
        <f t="shared" si="7"/>
        <v>1</v>
      </c>
      <c r="E148" t="s">
        <v>426</v>
      </c>
    </row>
    <row r="149" spans="1:4" s="326" customFormat="1" ht="19.5" customHeight="1" thickBot="1">
      <c r="A149" s="93">
        <f t="shared" si="7"/>
        <v>27</v>
      </c>
      <c r="D149" s="331" t="s">
        <v>827</v>
      </c>
    </row>
    <row r="150" spans="1:7" s="738" customFormat="1" ht="15" customHeight="1" thickBot="1">
      <c r="A150" s="93">
        <f t="shared" si="7"/>
        <v>26</v>
      </c>
      <c r="D150" s="834"/>
      <c r="F150" s="748"/>
      <c r="G150" s="748"/>
    </row>
    <row r="151" spans="1:7" s="738" customFormat="1" ht="15" customHeight="1" thickBot="1">
      <c r="A151" s="93">
        <f t="shared" si="7"/>
        <v>25</v>
      </c>
      <c r="D151" s="834"/>
      <c r="E151" s="832" t="s">
        <v>753</v>
      </c>
      <c r="F151" s="748"/>
      <c r="G151" s="748"/>
    </row>
    <row r="152" spans="1:7" s="738" customFormat="1" ht="15" customHeight="1" thickBot="1">
      <c r="A152" s="93">
        <f t="shared" si="7"/>
        <v>24</v>
      </c>
      <c r="D152" s="834"/>
      <c r="E152" s="764" t="s">
        <v>588</v>
      </c>
      <c r="F152" s="748"/>
      <c r="G152" s="748"/>
    </row>
    <row r="153" spans="1:15" s="485" customFormat="1" ht="15" customHeight="1" thickBot="1">
      <c r="A153" s="93">
        <f t="shared" si="7"/>
        <v>23</v>
      </c>
      <c r="B153" s="740"/>
      <c r="C153"/>
      <c r="D153" s="443"/>
      <c r="E153" s="753" t="s">
        <v>295</v>
      </c>
      <c r="F153" s="754" t="s">
        <v>812</v>
      </c>
      <c r="G153" s="755" t="s">
        <v>811</v>
      </c>
      <c r="H153" s="749" t="s">
        <v>817</v>
      </c>
      <c r="I153" s="749" t="s">
        <v>817</v>
      </c>
      <c r="J153" s="749" t="s">
        <v>817</v>
      </c>
      <c r="K153" s="749" t="s">
        <v>817</v>
      </c>
      <c r="L153" s="749" t="s">
        <v>817</v>
      </c>
      <c r="M153" s="762" t="s">
        <v>580</v>
      </c>
      <c r="N153" s="541" t="s">
        <v>404</v>
      </c>
      <c r="O153" s="767" t="s">
        <v>405</v>
      </c>
    </row>
    <row r="154" spans="1:15" s="485" customFormat="1" ht="15" customHeight="1" thickBot="1">
      <c r="A154" s="93">
        <f t="shared" si="7"/>
        <v>22</v>
      </c>
      <c r="B154" s="740"/>
      <c r="C154"/>
      <c r="D154" s="443"/>
      <c r="E154" s="753"/>
      <c r="F154" s="756" t="s">
        <v>590</v>
      </c>
      <c r="G154" s="753" t="s">
        <v>589</v>
      </c>
      <c r="H154" s="741" t="s">
        <v>822</v>
      </c>
      <c r="I154" s="741" t="s">
        <v>830</v>
      </c>
      <c r="J154" s="741" t="s">
        <v>80</v>
      </c>
      <c r="K154" s="741" t="s">
        <v>816</v>
      </c>
      <c r="L154" s="741" t="s">
        <v>818</v>
      </c>
      <c r="M154" s="762" t="s">
        <v>591</v>
      </c>
      <c r="N154" s="537" t="s">
        <v>833</v>
      </c>
      <c r="O154" s="768" t="s">
        <v>831</v>
      </c>
    </row>
    <row r="155" spans="1:16" s="751" customFormat="1" ht="15" customHeight="1" thickBot="1">
      <c r="A155" s="93">
        <f t="shared" si="7"/>
        <v>21</v>
      </c>
      <c r="B155" s="740"/>
      <c r="C155" s="443"/>
      <c r="D155" s="443"/>
      <c r="E155" s="757" t="s">
        <v>581</v>
      </c>
      <c r="F155" s="757">
        <v>69.25</v>
      </c>
      <c r="G155" s="758">
        <v>0.0344</v>
      </c>
      <c r="H155" s="752">
        <f aca="true" t="shared" si="8" ref="H155:H165">3.785*G155</f>
        <v>0.13020400000000001</v>
      </c>
      <c r="I155" s="750">
        <f>4.546*G155</f>
        <v>0.1563824</v>
      </c>
      <c r="J155" s="752">
        <f>(H155/M155)*2000/0.907</f>
        <v>43.56739773101807</v>
      </c>
      <c r="K155" s="742">
        <f>F155*G155</f>
        <v>2.3822</v>
      </c>
      <c r="L155" s="752">
        <f>3.785*K155</f>
        <v>9.016627000000002</v>
      </c>
      <c r="M155" s="763">
        <v>6.59</v>
      </c>
      <c r="N155" s="538">
        <v>0.739</v>
      </c>
      <c r="O155" s="751">
        <v>3135</v>
      </c>
      <c r="P155" s="485"/>
    </row>
    <row r="156" spans="1:15" s="751" customFormat="1" ht="15" customHeight="1" thickBot="1">
      <c r="A156" s="93">
        <f t="shared" si="7"/>
        <v>20</v>
      </c>
      <c r="B156" s="740"/>
      <c r="C156" s="443"/>
      <c r="D156" s="443"/>
      <c r="E156" s="757" t="s">
        <v>582</v>
      </c>
      <c r="F156" s="757">
        <v>71.45</v>
      </c>
      <c r="G156" s="758">
        <v>0.0357</v>
      </c>
      <c r="H156" s="752">
        <f t="shared" si="8"/>
        <v>0.1351245</v>
      </c>
      <c r="I156" s="750">
        <f>4.546*G156</f>
        <v>0.16229220000000003</v>
      </c>
      <c r="J156" s="752">
        <f>(H156/M156)*2000/0.907</f>
        <v>44.076805647071104</v>
      </c>
      <c r="K156" s="742">
        <f>F156*G156</f>
        <v>2.550765</v>
      </c>
      <c r="L156" s="752">
        <f>3.785*K156</f>
        <v>9.654645525000001</v>
      </c>
      <c r="M156" s="763">
        <v>6.76</v>
      </c>
      <c r="N156" s="738"/>
      <c r="O156" s="751">
        <v>3150</v>
      </c>
    </row>
    <row r="157" spans="1:15" s="751" customFormat="1" ht="15" customHeight="1" thickBot="1">
      <c r="A157" s="93">
        <f t="shared" si="7"/>
        <v>19</v>
      </c>
      <c r="B157" s="740"/>
      <c r="C157" s="443"/>
      <c r="D157" s="443"/>
      <c r="E157" s="759" t="s">
        <v>583</v>
      </c>
      <c r="F157" s="757" t="s">
        <v>584</v>
      </c>
      <c r="G157" s="758"/>
      <c r="H157" s="742"/>
      <c r="I157" s="742"/>
      <c r="J157" s="742">
        <v>44.59</v>
      </c>
      <c r="K157" s="742"/>
      <c r="L157" s="121">
        <f>1.025*9.7653</f>
        <v>10.009432499999999</v>
      </c>
      <c r="M157" s="763"/>
      <c r="N157" s="538">
        <v>0.78</v>
      </c>
      <c r="O157"/>
    </row>
    <row r="158" spans="1:14" s="751" customFormat="1" ht="15" customHeight="1" thickBot="1">
      <c r="A158" s="93">
        <f t="shared" si="7"/>
        <v>18</v>
      </c>
      <c r="B158" s="740"/>
      <c r="C158" s="443"/>
      <c r="D158" s="443"/>
      <c r="E158" s="759" t="s">
        <v>592</v>
      </c>
      <c r="F158" s="757" t="s">
        <v>593</v>
      </c>
      <c r="G158" s="765">
        <f>69.11/69.25*G155</f>
        <v>0.03433045487364621</v>
      </c>
      <c r="H158" s="752">
        <f t="shared" si="8"/>
        <v>0.1299407716967509</v>
      </c>
      <c r="I158" s="750">
        <f aca="true" t="shared" si="9" ref="I158:I165">4.546*G158</f>
        <v>0.15606624785559567</v>
      </c>
      <c r="J158" s="742"/>
      <c r="K158" s="742">
        <f>69.11/69.25*K155</f>
        <v>2.377384</v>
      </c>
      <c r="L158" s="752">
        <f aca="true" t="shared" si="10" ref="L158:L165">3.785*K158</f>
        <v>8.99839844</v>
      </c>
      <c r="M158" s="763"/>
      <c r="N158" s="738"/>
    </row>
    <row r="159" spans="1:15" s="751" customFormat="1" ht="15" customHeight="1" thickBot="1">
      <c r="A159" s="93">
        <f t="shared" si="7"/>
        <v>17</v>
      </c>
      <c r="B159" s="740"/>
      <c r="C159" s="443"/>
      <c r="D159" s="443"/>
      <c r="E159" s="759" t="s">
        <v>65</v>
      </c>
      <c r="F159" s="757">
        <v>74.01</v>
      </c>
      <c r="G159" s="758">
        <v>0.0371</v>
      </c>
      <c r="H159" s="752">
        <f t="shared" si="8"/>
        <v>0.1404235</v>
      </c>
      <c r="I159" s="750">
        <f t="shared" si="9"/>
        <v>0.16865660000000002</v>
      </c>
      <c r="J159" s="752">
        <f>1000*G159*(1/N159)</f>
        <v>44.16666666666667</v>
      </c>
      <c r="K159" s="742">
        <f aca="true" t="shared" si="11" ref="K159:K165">F159*G159</f>
        <v>2.7457710000000004</v>
      </c>
      <c r="L159" s="752">
        <f t="shared" si="10"/>
        <v>10.392743235000001</v>
      </c>
      <c r="M159" s="743">
        <f>N159/N155*M155</f>
        <v>7.4906630581867395</v>
      </c>
      <c r="N159" s="538">
        <v>0.84</v>
      </c>
      <c r="O159" s="751">
        <v>3142</v>
      </c>
    </row>
    <row r="160" spans="1:15" s="751" customFormat="1" ht="15" customHeight="1" thickBot="1">
      <c r="A160" s="93">
        <f t="shared" si="7"/>
        <v>16</v>
      </c>
      <c r="B160" s="740"/>
      <c r="C160" s="443"/>
      <c r="D160" s="443"/>
      <c r="E160" s="757" t="s">
        <v>594</v>
      </c>
      <c r="F160" s="757">
        <v>74.01</v>
      </c>
      <c r="G160" s="758">
        <v>0.0371</v>
      </c>
      <c r="H160" s="752">
        <f t="shared" si="8"/>
        <v>0.1404235</v>
      </c>
      <c r="I160" s="750">
        <f t="shared" si="9"/>
        <v>0.16865660000000002</v>
      </c>
      <c r="J160" s="752">
        <f>(H160/M160)*2000/0.907</f>
        <v>43.92111786186243</v>
      </c>
      <c r="K160" s="742">
        <f t="shared" si="11"/>
        <v>2.7457710000000004</v>
      </c>
      <c r="L160" s="752">
        <f t="shared" si="10"/>
        <v>10.392743235000001</v>
      </c>
      <c r="M160" s="763">
        <v>7.05</v>
      </c>
      <c r="N160" s="738"/>
      <c r="O160" s="751">
        <v>3142</v>
      </c>
    </row>
    <row r="161" spans="1:15" s="751" customFormat="1" ht="15" customHeight="1" thickBot="1">
      <c r="A161" s="93">
        <f t="shared" si="7"/>
        <v>15</v>
      </c>
      <c r="B161" s="740"/>
      <c r="C161" s="443"/>
      <c r="D161" s="443"/>
      <c r="E161" s="757" t="s">
        <v>595</v>
      </c>
      <c r="F161" s="757">
        <v>74.01</v>
      </c>
      <c r="G161" s="758">
        <v>0.0371</v>
      </c>
      <c r="H161" s="752">
        <f t="shared" si="8"/>
        <v>0.1404235</v>
      </c>
      <c r="I161" s="750">
        <f t="shared" si="9"/>
        <v>0.16865660000000002</v>
      </c>
      <c r="J161" s="752">
        <f>(H161/M161)*2000/0.907</f>
        <v>43.92111786186243</v>
      </c>
      <c r="K161" s="742">
        <f t="shared" si="11"/>
        <v>2.7457710000000004</v>
      </c>
      <c r="L161" s="752">
        <f t="shared" si="10"/>
        <v>10.392743235000001</v>
      </c>
      <c r="M161" s="763">
        <v>7.05</v>
      </c>
      <c r="N161" s="738"/>
      <c r="O161" s="751">
        <v>3142</v>
      </c>
    </row>
    <row r="162" spans="1:15" s="751" customFormat="1" ht="15" customHeight="1" thickBot="1">
      <c r="A162" s="93">
        <f t="shared" si="7"/>
        <v>14</v>
      </c>
      <c r="B162" s="740"/>
      <c r="C162" s="443"/>
      <c r="D162" s="443"/>
      <c r="E162" s="757" t="s">
        <v>819</v>
      </c>
      <c r="F162" s="757">
        <v>74.01</v>
      </c>
      <c r="G162" s="758">
        <v>0.0379</v>
      </c>
      <c r="H162" s="752">
        <f t="shared" si="8"/>
        <v>0.1434515</v>
      </c>
      <c r="I162" s="750">
        <f t="shared" si="9"/>
        <v>0.1722934</v>
      </c>
      <c r="J162" s="752"/>
      <c r="K162" s="742">
        <f t="shared" si="11"/>
        <v>2.8049790000000003</v>
      </c>
      <c r="L162" s="752">
        <f t="shared" si="10"/>
        <v>10.616845515000001</v>
      </c>
      <c r="M162" s="763"/>
      <c r="N162" s="738"/>
      <c r="O162" s="751">
        <v>3142</v>
      </c>
    </row>
    <row r="163" spans="1:15" s="751" customFormat="1" ht="15" customHeight="1" thickBot="1">
      <c r="A163" s="93">
        <f t="shared" si="7"/>
        <v>13</v>
      </c>
      <c r="B163" s="740"/>
      <c r="C163" s="443"/>
      <c r="D163" s="443"/>
      <c r="E163" s="757" t="s">
        <v>821</v>
      </c>
      <c r="F163" s="757">
        <v>77.3</v>
      </c>
      <c r="G163" s="758">
        <v>0.0397</v>
      </c>
      <c r="H163" s="752">
        <f t="shared" si="8"/>
        <v>0.1502645</v>
      </c>
      <c r="I163" s="750">
        <f t="shared" si="9"/>
        <v>0.1804762</v>
      </c>
      <c r="J163" s="752">
        <f>(H163/M163)*2000/0.907</f>
        <v>39.9535316595376</v>
      </c>
      <c r="K163" s="742">
        <f t="shared" si="11"/>
        <v>3.06881</v>
      </c>
      <c r="L163" s="752">
        <f t="shared" si="10"/>
        <v>11.61544585</v>
      </c>
      <c r="M163" s="743">
        <f>N163/N155*M155</f>
        <v>8.293234100135319</v>
      </c>
      <c r="N163" s="538">
        <v>0.93</v>
      </c>
      <c r="O163" s="751">
        <v>3117</v>
      </c>
    </row>
    <row r="164" spans="1:15" s="751" customFormat="1" ht="15" customHeight="1" thickBot="1">
      <c r="A164" s="93">
        <f t="shared" si="7"/>
        <v>12</v>
      </c>
      <c r="B164" s="740"/>
      <c r="C164" s="443"/>
      <c r="D164" s="443"/>
      <c r="E164" s="757" t="s">
        <v>820</v>
      </c>
      <c r="F164" s="757">
        <v>77.3</v>
      </c>
      <c r="G164" s="758">
        <v>0.0405</v>
      </c>
      <c r="H164" s="752">
        <f t="shared" si="8"/>
        <v>0.1532925</v>
      </c>
      <c r="I164" s="750">
        <f t="shared" si="9"/>
        <v>0.18411300000000003</v>
      </c>
      <c r="J164" s="752">
        <f>(H164/M164)*2000/0.907</f>
        <v>40.758640609855746</v>
      </c>
      <c r="K164" s="742">
        <f t="shared" si="11"/>
        <v>3.13065</v>
      </c>
      <c r="L164" s="752">
        <f t="shared" si="10"/>
        <v>11.849510250000002</v>
      </c>
      <c r="M164" s="743">
        <f>M163</f>
        <v>8.293234100135319</v>
      </c>
      <c r="N164" s="538">
        <v>0.93</v>
      </c>
      <c r="O164" s="751">
        <v>3117</v>
      </c>
    </row>
    <row r="165" spans="1:14" s="751" customFormat="1" ht="15" customHeight="1" thickBot="1">
      <c r="A165" s="93">
        <f t="shared" si="7"/>
        <v>11</v>
      </c>
      <c r="B165" s="740"/>
      <c r="C165" s="443"/>
      <c r="D165" s="443"/>
      <c r="E165" s="757" t="s">
        <v>69</v>
      </c>
      <c r="F165" s="757">
        <v>63.2</v>
      </c>
      <c r="G165" s="758">
        <v>0.0249</v>
      </c>
      <c r="H165" s="752">
        <f t="shared" si="8"/>
        <v>0.0942465</v>
      </c>
      <c r="I165" s="750">
        <f t="shared" si="9"/>
        <v>0.1131954</v>
      </c>
      <c r="J165" s="752">
        <f>(H165/M165)*2000/0.907</f>
        <v>45.97793952639744</v>
      </c>
      <c r="K165" s="742">
        <f t="shared" si="11"/>
        <v>1.57368</v>
      </c>
      <c r="L165" s="752">
        <f t="shared" si="10"/>
        <v>5.9563788</v>
      </c>
      <c r="M165" s="763">
        <v>4.52</v>
      </c>
      <c r="N165" s="738"/>
    </row>
    <row r="166" spans="1:14" s="751" customFormat="1" ht="15" customHeight="1" thickBot="1">
      <c r="A166" s="93">
        <f t="shared" si="7"/>
        <v>10</v>
      </c>
      <c r="B166" s="740"/>
      <c r="C166" s="443"/>
      <c r="D166" s="443"/>
      <c r="E166" s="760" t="s">
        <v>596</v>
      </c>
      <c r="F166" s="757">
        <v>73.28</v>
      </c>
      <c r="G166" s="758">
        <v>0.0382</v>
      </c>
      <c r="H166" s="742"/>
      <c r="I166" s="742"/>
      <c r="J166" s="742"/>
      <c r="K166" s="742"/>
      <c r="L166" s="742"/>
      <c r="M166" s="763"/>
      <c r="N166" s="738"/>
    </row>
    <row r="167" spans="1:15" s="751" customFormat="1" ht="15" customHeight="1" thickBot="1">
      <c r="A167" s="93">
        <f t="shared" si="7"/>
        <v>9</v>
      </c>
      <c r="B167" s="740"/>
      <c r="C167" s="443"/>
      <c r="D167" s="443"/>
      <c r="E167" s="760" t="s">
        <v>597</v>
      </c>
      <c r="F167" s="757">
        <v>98.3</v>
      </c>
      <c r="G167" s="758" t="s">
        <v>36</v>
      </c>
      <c r="H167" s="742"/>
      <c r="I167" s="742"/>
      <c r="J167" s="931">
        <v>28.6</v>
      </c>
      <c r="K167" s="742"/>
      <c r="L167" s="742"/>
      <c r="M167" s="763"/>
      <c r="N167" s="738"/>
      <c r="O167" s="743">
        <v>1747.3</v>
      </c>
    </row>
    <row r="168" spans="1:15" s="751" customFormat="1" ht="15" customHeight="1" thickBot="1">
      <c r="A168" s="93">
        <f t="shared" si="7"/>
        <v>8</v>
      </c>
      <c r="B168" s="740"/>
      <c r="C168" s="443"/>
      <c r="D168" s="443"/>
      <c r="E168" s="760" t="s">
        <v>598</v>
      </c>
      <c r="F168" s="757">
        <v>94.53</v>
      </c>
      <c r="G168" s="758" t="s">
        <v>35</v>
      </c>
      <c r="H168" s="742"/>
      <c r="I168" s="742"/>
      <c r="J168" s="931">
        <v>30.23</v>
      </c>
      <c r="K168" s="742"/>
      <c r="L168" s="742"/>
      <c r="M168" s="763"/>
      <c r="N168" s="738"/>
      <c r="O168" s="743">
        <v>2236.8</v>
      </c>
    </row>
    <row r="169" spans="1:15" s="485" customFormat="1" ht="15" customHeight="1" thickBot="1">
      <c r="A169" s="93">
        <f t="shared" si="7"/>
        <v>7</v>
      </c>
      <c r="B169" s="740"/>
      <c r="C169"/>
      <c r="D169" s="443"/>
      <c r="E169" s="760" t="s">
        <v>805</v>
      </c>
      <c r="F169" s="760"/>
      <c r="G169" s="758">
        <v>0.0258</v>
      </c>
      <c r="H169" s="742"/>
      <c r="I169" s="742"/>
      <c r="J169" s="742"/>
      <c r="K169" s="742"/>
      <c r="L169" s="742"/>
      <c r="M169" s="763" t="s">
        <v>806</v>
      </c>
      <c r="N169" s="738"/>
      <c r="O169" s="743">
        <v>1685.5</v>
      </c>
    </row>
    <row r="170" spans="1:14" s="485" customFormat="1" ht="15" customHeight="1" thickBot="1">
      <c r="A170" s="93">
        <f t="shared" si="7"/>
        <v>6</v>
      </c>
      <c r="B170" s="740"/>
      <c r="C170"/>
      <c r="D170" s="443"/>
      <c r="E170" s="760" t="s">
        <v>406</v>
      </c>
      <c r="F170" s="757" t="s">
        <v>807</v>
      </c>
      <c r="G170" s="758">
        <v>0.024</v>
      </c>
      <c r="H170" s="742"/>
      <c r="I170" s="742"/>
      <c r="J170" s="752">
        <f>1000*G170*(1/N170)</f>
        <v>47.337278106508876</v>
      </c>
      <c r="K170" s="742"/>
      <c r="L170" s="742"/>
      <c r="M170" s="763" t="s">
        <v>808</v>
      </c>
      <c r="N170" s="539">
        <v>0.507</v>
      </c>
    </row>
    <row r="171" spans="1:14" s="485" customFormat="1" ht="15" customHeight="1" thickBot="1">
      <c r="A171" s="93">
        <f t="shared" si="7"/>
        <v>5</v>
      </c>
      <c r="B171" s="740"/>
      <c r="C171"/>
      <c r="D171" s="443"/>
      <c r="E171" s="760" t="s">
        <v>824</v>
      </c>
      <c r="F171" s="757">
        <v>96</v>
      </c>
      <c r="G171" s="758"/>
      <c r="H171" s="742"/>
      <c r="I171" s="742"/>
      <c r="J171" s="742"/>
      <c r="K171" s="742"/>
      <c r="L171" s="742"/>
      <c r="M171" s="763"/>
      <c r="N171" s="538"/>
    </row>
    <row r="172" spans="1:15" s="485" customFormat="1" ht="15" customHeight="1" thickBot="1">
      <c r="A172" s="93">
        <f t="shared" si="7"/>
        <v>4</v>
      </c>
      <c r="B172" s="740"/>
      <c r="C172"/>
      <c r="D172" s="443"/>
      <c r="E172" s="760" t="s">
        <v>826</v>
      </c>
      <c r="F172" s="757" t="s">
        <v>825</v>
      </c>
      <c r="G172" s="758"/>
      <c r="H172" s="742"/>
      <c r="I172" s="742"/>
      <c r="J172" s="742"/>
      <c r="K172" s="742"/>
      <c r="L172" s="742"/>
      <c r="M172" s="763"/>
      <c r="N172" s="538"/>
      <c r="O172" s="743">
        <v>1730</v>
      </c>
    </row>
    <row r="173" spans="1:14" s="485" customFormat="1" ht="15" customHeight="1" thickBot="1">
      <c r="A173" s="93">
        <f t="shared" si="7"/>
        <v>3</v>
      </c>
      <c r="B173" s="740"/>
      <c r="C173"/>
      <c r="D173" s="443"/>
      <c r="E173" s="760" t="s">
        <v>809</v>
      </c>
      <c r="F173" s="757">
        <v>56.06</v>
      </c>
      <c r="G173" s="761" t="s">
        <v>810</v>
      </c>
      <c r="H173" s="744"/>
      <c r="I173" s="744"/>
      <c r="J173" s="744"/>
      <c r="K173" s="742"/>
      <c r="L173" s="744"/>
      <c r="M173" s="763"/>
      <c r="N173" s="538">
        <v>0.673</v>
      </c>
    </row>
    <row r="174" spans="1:21" s="485" customFormat="1" ht="15" customHeight="1" thickBot="1">
      <c r="A174" s="93">
        <f t="shared" si="7"/>
        <v>2</v>
      </c>
      <c r="B174" s="740"/>
      <c r="C174"/>
      <c r="D174" s="443"/>
      <c r="E174" s="745" t="s">
        <v>813</v>
      </c>
      <c r="F174" s="745" t="s">
        <v>815</v>
      </c>
      <c r="G174" s="747" t="s">
        <v>587</v>
      </c>
      <c r="H174" s="747"/>
      <c r="I174" s="747"/>
      <c r="J174" s="747"/>
      <c r="K174" s="746"/>
      <c r="L174" s="746"/>
      <c r="M174" s="746"/>
      <c r="N174" s="769" t="s">
        <v>404</v>
      </c>
      <c r="O174" s="768" t="s">
        <v>831</v>
      </c>
      <c r="Q174"/>
      <c r="R174"/>
      <c r="S174"/>
      <c r="T174"/>
      <c r="U174"/>
    </row>
    <row r="175" spans="1:16" s="485" customFormat="1" ht="15" customHeight="1" thickBot="1">
      <c r="A175" s="93">
        <f t="shared" si="7"/>
        <v>1</v>
      </c>
      <c r="B175" s="740"/>
      <c r="C175"/>
      <c r="D175" s="443"/>
      <c r="E175" s="745" t="s">
        <v>814</v>
      </c>
      <c r="F175" s="745"/>
      <c r="G175" s="745"/>
      <c r="H175" s="745"/>
      <c r="I175" s="745"/>
      <c r="J175" s="745"/>
      <c r="K175" s="745"/>
      <c r="L175" s="745"/>
      <c r="M175" s="745"/>
      <c r="N175" s="526" t="s">
        <v>407</v>
      </c>
      <c r="P175" s="556" t="s">
        <v>427</v>
      </c>
    </row>
    <row r="176" spans="1:4" s="139" customFormat="1" ht="21.75" customHeight="1" thickBot="1">
      <c r="A176" s="93">
        <f t="shared" si="7"/>
        <v>11</v>
      </c>
      <c r="C176" s="330"/>
      <c r="D176" s="331" t="s">
        <v>719</v>
      </c>
    </row>
    <row r="177" spans="1:4" s="572" customFormat="1" ht="15" customHeight="1" hidden="1" thickBot="1">
      <c r="A177" s="93">
        <f t="shared" si="7"/>
        <v>10</v>
      </c>
      <c r="C177" s="573"/>
      <c r="D177" s="574"/>
    </row>
    <row r="178" spans="1:5" s="572" customFormat="1" ht="15" customHeight="1" hidden="1" thickBot="1">
      <c r="A178" s="93">
        <f t="shared" si="7"/>
        <v>9</v>
      </c>
      <c r="C178" s="573"/>
      <c r="D178" s="574"/>
      <c r="E178" s="574" t="s">
        <v>754</v>
      </c>
    </row>
    <row r="179" spans="1:5" ht="15" customHeight="1" hidden="1" thickBot="1">
      <c r="A179" s="93">
        <f t="shared" si="7"/>
        <v>8</v>
      </c>
      <c r="E179" s="766" t="s">
        <v>718</v>
      </c>
    </row>
    <row r="180" spans="1:15" s="97" customFormat="1" ht="15" customHeight="1" hidden="1" thickBot="1">
      <c r="A180" s="93">
        <f t="shared" si="7"/>
        <v>7</v>
      </c>
      <c r="D180" s="28"/>
      <c r="E180" s="319" t="s">
        <v>720</v>
      </c>
      <c r="F180" s="317"/>
      <c r="G180" s="318"/>
      <c r="N180"/>
      <c r="O180"/>
    </row>
    <row r="181" spans="1:7" s="97" customFormat="1" ht="15" customHeight="1" hidden="1" thickBot="1">
      <c r="A181" s="93">
        <f t="shared" si="7"/>
        <v>6</v>
      </c>
      <c r="D181" s="28"/>
      <c r="E181" s="319" t="s">
        <v>428</v>
      </c>
      <c r="F181" s="317"/>
      <c r="G181" s="318"/>
    </row>
    <row r="182" spans="1:17" s="28" customFormat="1" ht="15" customHeight="1" hidden="1" thickBot="1">
      <c r="A182" s="93">
        <f t="shared" si="7"/>
        <v>5</v>
      </c>
      <c r="E182" s="845" t="s">
        <v>319</v>
      </c>
      <c r="F182" s="846" t="s">
        <v>429</v>
      </c>
      <c r="G182" s="847" t="s">
        <v>430</v>
      </c>
      <c r="H182" s="846">
        <v>22.944</v>
      </c>
      <c r="I182" s="847" t="s">
        <v>325</v>
      </c>
      <c r="J182" s="846">
        <v>23.739</v>
      </c>
      <c r="K182" s="847" t="s">
        <v>327</v>
      </c>
      <c r="L182" s="848">
        <v>27.758</v>
      </c>
      <c r="M182" s="441" t="s">
        <v>330</v>
      </c>
      <c r="N182" s="313">
        <v>28.303</v>
      </c>
      <c r="Q182" s="97"/>
    </row>
    <row r="183" spans="1:14" s="28" customFormat="1" ht="15" customHeight="1" hidden="1" thickBot="1">
      <c r="A183" s="93">
        <f t="shared" si="7"/>
        <v>4</v>
      </c>
      <c r="E183" s="849" t="s">
        <v>431</v>
      </c>
      <c r="F183" s="850">
        <v>24.995</v>
      </c>
      <c r="G183" s="441" t="s">
        <v>323</v>
      </c>
      <c r="H183" s="850">
        <v>24.283</v>
      </c>
      <c r="I183" s="441" t="s">
        <v>432</v>
      </c>
      <c r="J183" s="850">
        <v>19.3</v>
      </c>
      <c r="K183" s="441" t="s">
        <v>329</v>
      </c>
      <c r="L183" s="851">
        <v>21.353</v>
      </c>
      <c r="M183" s="441" t="s">
        <v>433</v>
      </c>
      <c r="N183" s="442">
        <v>18.573</v>
      </c>
    </row>
    <row r="184" spans="1:14" s="443" customFormat="1" ht="15" customHeight="1" hidden="1" thickBot="1">
      <c r="A184" s="93">
        <f t="shared" si="7"/>
        <v>3</v>
      </c>
      <c r="E184" s="852" t="s">
        <v>434</v>
      </c>
      <c r="F184" s="853">
        <v>25.874</v>
      </c>
      <c r="G184" s="854" t="s">
        <v>324</v>
      </c>
      <c r="H184" s="853">
        <v>26.544</v>
      </c>
      <c r="I184" s="854" t="s">
        <v>435</v>
      </c>
      <c r="J184" s="853">
        <v>17.25</v>
      </c>
      <c r="K184" s="854" t="s">
        <v>436</v>
      </c>
      <c r="L184" s="855">
        <v>23.781</v>
      </c>
      <c r="M184" s="441" t="s">
        <v>437</v>
      </c>
      <c r="N184" s="442">
        <v>27.005</v>
      </c>
    </row>
    <row r="185" spans="1:14" s="443" customFormat="1" ht="15" customHeight="1" hidden="1" thickBot="1">
      <c r="A185" s="93">
        <f t="shared" si="7"/>
        <v>2</v>
      </c>
      <c r="E185" s="314" t="s">
        <v>438</v>
      </c>
      <c r="F185" s="442"/>
      <c r="G185" s="441"/>
      <c r="H185" s="442"/>
      <c r="I185" s="441"/>
      <c r="J185" s="442"/>
      <c r="K185" s="441"/>
      <c r="L185" s="442"/>
      <c r="M185" s="441"/>
      <c r="N185" s="442"/>
    </row>
    <row r="186" ht="15" customHeight="1" hidden="1" thickBot="1">
      <c r="A186" s="93">
        <f t="shared" si="7"/>
        <v>1</v>
      </c>
    </row>
    <row r="187" spans="1:4" s="139" customFormat="1" ht="21.75" customHeight="1" thickBot="1">
      <c r="A187" s="93">
        <f t="shared" si="7"/>
        <v>74</v>
      </c>
      <c r="C187" s="330"/>
      <c r="D187" s="331" t="s">
        <v>424</v>
      </c>
    </row>
    <row r="188" spans="1:4" s="572" customFormat="1" ht="15" customHeight="1" thickBot="1">
      <c r="A188" s="93">
        <f t="shared" si="7"/>
        <v>73</v>
      </c>
      <c r="C188" s="573"/>
      <c r="D188" s="574"/>
    </row>
    <row r="189" spans="1:5" s="572" customFormat="1" ht="15" customHeight="1" thickBot="1">
      <c r="A189" s="93">
        <f t="shared" si="7"/>
        <v>72</v>
      </c>
      <c r="C189" s="573"/>
      <c r="D189" s="574"/>
      <c r="E189" s="574" t="s">
        <v>755</v>
      </c>
    </row>
    <row r="190" spans="1:12" ht="15" customHeight="1" thickBot="1">
      <c r="A190" s="93">
        <f t="shared" si="7"/>
        <v>71</v>
      </c>
      <c r="E190" s="557">
        <v>9.016627000000002</v>
      </c>
      <c r="F190" t="s">
        <v>440</v>
      </c>
      <c r="H190" t="s">
        <v>829</v>
      </c>
      <c r="K190">
        <f>E190/3.785</f>
        <v>2.3822</v>
      </c>
      <c r="L190" t="s">
        <v>733</v>
      </c>
    </row>
    <row r="191" spans="1:12" ht="15" customHeight="1" thickBot="1">
      <c r="A191" s="93">
        <f t="shared" si="7"/>
        <v>70</v>
      </c>
      <c r="E191" s="557">
        <v>10.392743235000001</v>
      </c>
      <c r="F191" t="s">
        <v>823</v>
      </c>
      <c r="H191" t="s">
        <v>441</v>
      </c>
      <c r="K191">
        <f>E191/3.785</f>
        <v>2.745771</v>
      </c>
      <c r="L191" t="s">
        <v>737</v>
      </c>
    </row>
    <row r="192" spans="1:11" ht="15" customHeight="1" thickBot="1">
      <c r="A192" s="93">
        <f t="shared" si="7"/>
        <v>69</v>
      </c>
      <c r="E192" s="540" t="s">
        <v>23</v>
      </c>
      <c r="F192" s="540" t="s">
        <v>24</v>
      </c>
      <c r="G192" s="540" t="s">
        <v>25</v>
      </c>
      <c r="H192" s="540" t="s">
        <v>26</v>
      </c>
      <c r="I192" s="540" t="s">
        <v>83</v>
      </c>
      <c r="J192" s="540" t="s">
        <v>29</v>
      </c>
      <c r="K192" s="540" t="s">
        <v>85</v>
      </c>
    </row>
    <row r="193" spans="1:11" ht="15" customHeight="1" thickBot="1">
      <c r="A193" s="93">
        <f t="shared" si="7"/>
        <v>68</v>
      </c>
      <c r="E193" s="535" t="s">
        <v>784</v>
      </c>
      <c r="F193" s="535" t="s">
        <v>785</v>
      </c>
      <c r="G193" s="535" t="s">
        <v>786</v>
      </c>
      <c r="H193" s="535" t="s">
        <v>787</v>
      </c>
      <c r="I193" s="535" t="s">
        <v>314</v>
      </c>
      <c r="J193" s="535" t="s">
        <v>65</v>
      </c>
      <c r="K193" s="535" t="s">
        <v>788</v>
      </c>
    </row>
    <row r="194" spans="1:11" ht="15" customHeight="1" thickBot="1">
      <c r="A194" s="93">
        <f t="shared" si="7"/>
        <v>67</v>
      </c>
      <c r="E194" s="536" t="s">
        <v>442</v>
      </c>
      <c r="F194" s="536" t="s">
        <v>443</v>
      </c>
      <c r="G194" s="536" t="s">
        <v>443</v>
      </c>
      <c r="H194" s="536" t="s">
        <v>444</v>
      </c>
      <c r="I194" s="536" t="s">
        <v>445</v>
      </c>
      <c r="J194" s="536" t="s">
        <v>445</v>
      </c>
      <c r="K194" s="536" t="s">
        <v>446</v>
      </c>
    </row>
    <row r="195" spans="1:11" ht="15" customHeight="1" thickBot="1">
      <c r="A195" s="93">
        <f t="shared" si="7"/>
        <v>66</v>
      </c>
      <c r="E195" s="209"/>
      <c r="F195" s="209" t="str">
        <f>E190&amp;"/A"</f>
        <v>9.016627/A</v>
      </c>
      <c r="G195" s="209" t="s">
        <v>447</v>
      </c>
      <c r="H195" s="209"/>
      <c r="I195" s="558" t="s">
        <v>448</v>
      </c>
      <c r="J195" s="209" t="str">
        <f>" col E x "&amp;E191&amp;"/"&amp;E190</f>
        <v> col E x 10.392743235/9.016627</v>
      </c>
      <c r="K195" t="s">
        <v>272</v>
      </c>
    </row>
    <row r="196" spans="1:12" ht="15" customHeight="1" thickBot="1">
      <c r="A196" s="93">
        <f t="shared" si="7"/>
        <v>65</v>
      </c>
      <c r="E196" s="542">
        <v>4</v>
      </c>
      <c r="F196" s="543">
        <f>E$190/E196</f>
        <v>2.2541567500000004</v>
      </c>
      <c r="G196" s="544">
        <f>1000*F196</f>
        <v>2254.1567500000006</v>
      </c>
      <c r="H196" s="542">
        <v>1.6093</v>
      </c>
      <c r="I196" s="545">
        <f>G196/H196</f>
        <v>1400.7063630149758</v>
      </c>
      <c r="J196" s="546">
        <f>I196*$E$191/E$190</f>
        <v>1614.481954110483</v>
      </c>
      <c r="K196" s="546">
        <f>100/(E196/3.785*1.6093)</f>
        <v>58.7988566457466</v>
      </c>
      <c r="L196" s="531" t="s">
        <v>449</v>
      </c>
    </row>
    <row r="197" spans="1:12" ht="15" customHeight="1" thickBot="1">
      <c r="A197" s="93">
        <f t="shared" si="7"/>
        <v>64</v>
      </c>
      <c r="E197" s="542">
        <v>5</v>
      </c>
      <c r="F197" s="543">
        <f>E$190/E197</f>
        <v>1.8033254000000003</v>
      </c>
      <c r="G197" s="544">
        <f>1000*F197</f>
        <v>1803.3254000000004</v>
      </c>
      <c r="H197" s="542">
        <v>1.6093</v>
      </c>
      <c r="I197" s="545">
        <f>G197/H197</f>
        <v>1120.5650904119807</v>
      </c>
      <c r="J197" s="546">
        <f>I197*$E$191/E$190</f>
        <v>1291.5855632883865</v>
      </c>
      <c r="K197" s="546">
        <f>100/(E197/3.785*1.6093)</f>
        <v>47.03908531659727</v>
      </c>
      <c r="L197" s="531" t="s">
        <v>828</v>
      </c>
    </row>
    <row r="198" spans="1:12" ht="15" customHeight="1" thickBot="1">
      <c r="A198" s="93">
        <f t="shared" si="7"/>
        <v>63</v>
      </c>
      <c r="E198" s="542">
        <v>6</v>
      </c>
      <c r="F198" s="543">
        <f>E$190/E198</f>
        <v>1.502771166666667</v>
      </c>
      <c r="G198" s="544">
        <f>1000*F198</f>
        <v>1502.7711666666669</v>
      </c>
      <c r="H198" s="542">
        <v>1.6093</v>
      </c>
      <c r="I198" s="545">
        <f>G198/H198</f>
        <v>933.8042420099838</v>
      </c>
      <c r="J198" s="546">
        <f aca="true" t="shared" si="12" ref="J198:J231">I198*$E$191/E$190</f>
        <v>1076.3213027403222</v>
      </c>
      <c r="K198" s="546">
        <f aca="true" t="shared" si="13" ref="K198:K234">100/(E198/3.785*1.6093)</f>
        <v>39.19923776383107</v>
      </c>
      <c r="L198" s="531" t="s">
        <v>450</v>
      </c>
    </row>
    <row r="199" spans="1:11" ht="15" customHeight="1" thickBot="1">
      <c r="A199" s="93">
        <f aca="true" t="shared" si="14" ref="A199:A262">IF(ISTEXT(D200),1,1+A200)</f>
        <v>62</v>
      </c>
      <c r="E199" s="542">
        <v>7</v>
      </c>
      <c r="F199" s="543">
        <f>E$190/E199</f>
        <v>1.2880895714285716</v>
      </c>
      <c r="G199" s="544">
        <f>1000*F199</f>
        <v>1288.0895714285716</v>
      </c>
      <c r="H199" s="542">
        <v>1.6093</v>
      </c>
      <c r="I199" s="545">
        <f>G199/H199</f>
        <v>800.4036360085576</v>
      </c>
      <c r="J199" s="546">
        <f t="shared" si="12"/>
        <v>922.5611166345617</v>
      </c>
      <c r="K199" s="546">
        <f t="shared" si="13"/>
        <v>33.59934665471235</v>
      </c>
    </row>
    <row r="200" spans="1:11" ht="15" customHeight="1" thickBot="1">
      <c r="A200" s="93">
        <f t="shared" si="14"/>
        <v>61</v>
      </c>
      <c r="E200" s="542">
        <v>8</v>
      </c>
      <c r="F200" s="543">
        <f aca="true" t="shared" si="15" ref="F200:F259">E$190/E200</f>
        <v>1.1270783750000002</v>
      </c>
      <c r="G200" s="544">
        <f>1000*F200</f>
        <v>1127.0783750000003</v>
      </c>
      <c r="H200" s="542">
        <v>1.6093</v>
      </c>
      <c r="I200" s="545">
        <f>G200/H200</f>
        <v>700.3531815074879</v>
      </c>
      <c r="J200" s="546">
        <f t="shared" si="12"/>
        <v>807.2409770552415</v>
      </c>
      <c r="K200" s="546">
        <f t="shared" si="13"/>
        <v>29.3994283228733</v>
      </c>
    </row>
    <row r="201" spans="1:11" ht="15" customHeight="1" thickBot="1">
      <c r="A201" s="93">
        <f t="shared" si="14"/>
        <v>60</v>
      </c>
      <c r="E201" s="542">
        <v>9</v>
      </c>
      <c r="F201" s="543">
        <f t="shared" si="15"/>
        <v>1.0018474444444445</v>
      </c>
      <c r="G201" s="544">
        <f aca="true" t="shared" si="16" ref="G201:G259">1000*F201</f>
        <v>1001.8474444444445</v>
      </c>
      <c r="H201" s="542">
        <v>1.6093</v>
      </c>
      <c r="I201" s="545">
        <f aca="true" t="shared" si="17" ref="I201:I231">G201/H201</f>
        <v>622.5361613399891</v>
      </c>
      <c r="J201" s="546">
        <f t="shared" si="12"/>
        <v>717.5475351602146</v>
      </c>
      <c r="K201" s="546">
        <f t="shared" si="13"/>
        <v>26.132825175887376</v>
      </c>
    </row>
    <row r="202" spans="1:11" ht="15" customHeight="1" thickBot="1">
      <c r="A202" s="93">
        <f t="shared" si="14"/>
        <v>59</v>
      </c>
      <c r="E202" s="542">
        <v>10</v>
      </c>
      <c r="F202" s="543">
        <f t="shared" si="15"/>
        <v>0.9016627000000002</v>
      </c>
      <c r="G202" s="544">
        <f t="shared" si="16"/>
        <v>901.6627000000002</v>
      </c>
      <c r="H202" s="542">
        <v>1.6093</v>
      </c>
      <c r="I202" s="545">
        <f t="shared" si="17"/>
        <v>560.2825452059903</v>
      </c>
      <c r="J202" s="546">
        <f t="shared" si="12"/>
        <v>645.7927816441933</v>
      </c>
      <c r="K202" s="546">
        <f t="shared" si="13"/>
        <v>23.519542658298636</v>
      </c>
    </row>
    <row r="203" spans="1:11" ht="15" customHeight="1" thickBot="1">
      <c r="A203" s="93">
        <f t="shared" si="14"/>
        <v>58</v>
      </c>
      <c r="E203" s="542">
        <v>11</v>
      </c>
      <c r="F203" s="543">
        <f t="shared" si="15"/>
        <v>0.8196933636363638</v>
      </c>
      <c r="G203" s="544">
        <f t="shared" si="16"/>
        <v>819.6933636363638</v>
      </c>
      <c r="H203" s="542">
        <v>1.6093</v>
      </c>
      <c r="I203" s="545">
        <f t="shared" si="17"/>
        <v>509.3477683690821</v>
      </c>
      <c r="J203" s="546">
        <f t="shared" si="12"/>
        <v>587.0843469492665</v>
      </c>
      <c r="K203" s="546">
        <f t="shared" si="13"/>
        <v>21.38140241663513</v>
      </c>
    </row>
    <row r="204" spans="1:11" ht="15" customHeight="1" thickBot="1">
      <c r="A204" s="93">
        <f t="shared" si="14"/>
        <v>57</v>
      </c>
      <c r="E204" s="542">
        <v>12</v>
      </c>
      <c r="F204" s="543">
        <f t="shared" si="15"/>
        <v>0.7513855833333335</v>
      </c>
      <c r="G204" s="544">
        <f t="shared" si="16"/>
        <v>751.3855833333334</v>
      </c>
      <c r="H204" s="542">
        <v>1.6093</v>
      </c>
      <c r="I204" s="545">
        <f t="shared" si="17"/>
        <v>466.9021210049919</v>
      </c>
      <c r="J204" s="546">
        <f t="shared" si="12"/>
        <v>538.1606513701611</v>
      </c>
      <c r="K204" s="546">
        <f t="shared" si="13"/>
        <v>19.599618881915536</v>
      </c>
    </row>
    <row r="205" spans="1:11" ht="15" customHeight="1" thickBot="1">
      <c r="A205" s="93">
        <f t="shared" si="14"/>
        <v>56</v>
      </c>
      <c r="E205" s="542">
        <v>13</v>
      </c>
      <c r="F205" s="543">
        <f t="shared" si="15"/>
        <v>0.6935866923076924</v>
      </c>
      <c r="G205" s="544">
        <f t="shared" si="16"/>
        <v>693.5866923076925</v>
      </c>
      <c r="H205" s="542">
        <v>1.6093</v>
      </c>
      <c r="I205" s="545">
        <f aca="true" t="shared" si="18" ref="I205:I219">G205/H205</f>
        <v>430.9865732353772</v>
      </c>
      <c r="J205" s="546">
        <f aca="true" t="shared" si="19" ref="J205:J219">I205*$E$191/E$190</f>
        <v>496.7636781878409</v>
      </c>
      <c r="K205" s="546">
        <f aca="true" t="shared" si="20" ref="K205:K219">100/(E205/3.785*1.6093)</f>
        <v>18.091955890998953</v>
      </c>
    </row>
    <row r="206" spans="1:11" ht="15" customHeight="1" thickBot="1">
      <c r="A206" s="93">
        <f t="shared" si="14"/>
        <v>55</v>
      </c>
      <c r="E206" s="542">
        <v>14</v>
      </c>
      <c r="F206" s="543">
        <f t="shared" si="15"/>
        <v>0.6440447857142858</v>
      </c>
      <c r="G206" s="544">
        <f t="shared" si="16"/>
        <v>644.0447857142858</v>
      </c>
      <c r="H206" s="542">
        <v>1.6093</v>
      </c>
      <c r="I206" s="545">
        <f t="shared" si="18"/>
        <v>400.2018180042788</v>
      </c>
      <c r="J206" s="546">
        <f t="shared" si="19"/>
        <v>461.28055831728085</v>
      </c>
      <c r="K206" s="546">
        <f t="shared" si="20"/>
        <v>16.799673327356174</v>
      </c>
    </row>
    <row r="207" spans="1:11" ht="15" customHeight="1" thickBot="1">
      <c r="A207" s="93">
        <f t="shared" si="14"/>
        <v>54</v>
      </c>
      <c r="E207" s="542">
        <v>15</v>
      </c>
      <c r="F207" s="543">
        <f t="shared" si="15"/>
        <v>0.6011084666666667</v>
      </c>
      <c r="G207" s="544">
        <f t="shared" si="16"/>
        <v>601.1084666666667</v>
      </c>
      <c r="H207" s="542">
        <v>1.6093</v>
      </c>
      <c r="I207" s="545">
        <f t="shared" si="18"/>
        <v>373.52169680399345</v>
      </c>
      <c r="J207" s="546">
        <f t="shared" si="19"/>
        <v>430.5285210961287</v>
      </c>
      <c r="K207" s="546">
        <f t="shared" si="20"/>
        <v>15.679695105532426</v>
      </c>
    </row>
    <row r="208" spans="1:11" ht="15" customHeight="1" thickBot="1">
      <c r="A208" s="93">
        <f t="shared" si="14"/>
        <v>53</v>
      </c>
      <c r="E208" s="542">
        <v>16</v>
      </c>
      <c r="F208" s="543">
        <f t="shared" si="15"/>
        <v>0.5635391875000001</v>
      </c>
      <c r="G208" s="544">
        <f t="shared" si="16"/>
        <v>563.5391875000001</v>
      </c>
      <c r="H208" s="542">
        <v>1.6093</v>
      </c>
      <c r="I208" s="545">
        <f t="shared" si="18"/>
        <v>350.17659075374394</v>
      </c>
      <c r="J208" s="546">
        <f t="shared" si="19"/>
        <v>403.62048852762075</v>
      </c>
      <c r="K208" s="546">
        <f t="shared" si="20"/>
        <v>14.69971416143665</v>
      </c>
    </row>
    <row r="209" spans="1:11" ht="15" customHeight="1" thickBot="1">
      <c r="A209" s="93">
        <f t="shared" si="14"/>
        <v>52</v>
      </c>
      <c r="E209" s="542">
        <v>17</v>
      </c>
      <c r="F209" s="543">
        <f t="shared" si="15"/>
        <v>0.5303898235294119</v>
      </c>
      <c r="G209" s="544">
        <f t="shared" si="16"/>
        <v>530.3898235294118</v>
      </c>
      <c r="H209" s="542">
        <v>1.6093</v>
      </c>
      <c r="I209" s="545">
        <f t="shared" si="18"/>
        <v>329.5779677682296</v>
      </c>
      <c r="J209" s="546">
        <f t="shared" si="19"/>
        <v>379.8781068495254</v>
      </c>
      <c r="K209" s="546">
        <f t="shared" si="20"/>
        <v>13.835025093116847</v>
      </c>
    </row>
    <row r="210" spans="1:11" ht="15" customHeight="1" thickBot="1">
      <c r="A210" s="93">
        <f t="shared" si="14"/>
        <v>51</v>
      </c>
      <c r="E210" s="542">
        <v>18</v>
      </c>
      <c r="F210" s="543">
        <f t="shared" si="15"/>
        <v>0.5009237222222223</v>
      </c>
      <c r="G210" s="544">
        <f t="shared" si="16"/>
        <v>500.92372222222224</v>
      </c>
      <c r="H210" s="542">
        <v>1.6093</v>
      </c>
      <c r="I210" s="545">
        <f t="shared" si="18"/>
        <v>311.26808066999456</v>
      </c>
      <c r="J210" s="546">
        <f t="shared" si="19"/>
        <v>358.7737675801073</v>
      </c>
      <c r="K210" s="546">
        <f t="shared" si="20"/>
        <v>13.066412587943688</v>
      </c>
    </row>
    <row r="211" spans="1:11" ht="15" customHeight="1" thickBot="1">
      <c r="A211" s="93">
        <f t="shared" si="14"/>
        <v>50</v>
      </c>
      <c r="E211" s="542">
        <v>19</v>
      </c>
      <c r="F211" s="543">
        <f t="shared" si="15"/>
        <v>0.47455931578947375</v>
      </c>
      <c r="G211" s="544">
        <f t="shared" si="16"/>
        <v>474.55931578947377</v>
      </c>
      <c r="H211" s="542">
        <v>1.6093</v>
      </c>
      <c r="I211" s="545">
        <f t="shared" si="18"/>
        <v>294.88555010841594</v>
      </c>
      <c r="J211" s="546">
        <f t="shared" si="19"/>
        <v>339.8909377074701</v>
      </c>
      <c r="K211" s="546">
        <f t="shared" si="20"/>
        <v>12.378706662262443</v>
      </c>
    </row>
    <row r="212" spans="1:11" ht="15" customHeight="1" thickBot="1">
      <c r="A212" s="93">
        <f t="shared" si="14"/>
        <v>49</v>
      </c>
      <c r="E212" s="542">
        <v>20</v>
      </c>
      <c r="F212" s="543">
        <f t="shared" si="15"/>
        <v>0.4508313500000001</v>
      </c>
      <c r="G212" s="544">
        <f t="shared" si="16"/>
        <v>450.8313500000001</v>
      </c>
      <c r="H212" s="542">
        <v>1.6093</v>
      </c>
      <c r="I212" s="545">
        <f t="shared" si="18"/>
        <v>280.1412726029952</v>
      </c>
      <c r="J212" s="546">
        <f t="shared" si="19"/>
        <v>322.89639082209663</v>
      </c>
      <c r="K212" s="546">
        <f t="shared" si="20"/>
        <v>11.759771329149318</v>
      </c>
    </row>
    <row r="213" spans="1:11" ht="15" customHeight="1" thickBot="1">
      <c r="A213" s="93">
        <f t="shared" si="14"/>
        <v>48</v>
      </c>
      <c r="E213" s="542">
        <v>21</v>
      </c>
      <c r="F213" s="543">
        <f t="shared" si="15"/>
        <v>0.42936319047619054</v>
      </c>
      <c r="G213" s="544">
        <f t="shared" si="16"/>
        <v>429.36319047619054</v>
      </c>
      <c r="H213" s="542">
        <v>1.6093</v>
      </c>
      <c r="I213" s="545">
        <f t="shared" si="18"/>
        <v>266.80121200285254</v>
      </c>
      <c r="J213" s="546">
        <f t="shared" si="19"/>
        <v>307.52037221152057</v>
      </c>
      <c r="K213" s="546">
        <f t="shared" si="20"/>
        <v>11.199782218237448</v>
      </c>
    </row>
    <row r="214" spans="1:11" ht="15" customHeight="1" thickBot="1">
      <c r="A214" s="93">
        <f t="shared" si="14"/>
        <v>47</v>
      </c>
      <c r="E214" s="542">
        <v>22</v>
      </c>
      <c r="F214" s="543">
        <f t="shared" si="15"/>
        <v>0.4098466818181819</v>
      </c>
      <c r="G214" s="544">
        <f t="shared" si="16"/>
        <v>409.8466818181819</v>
      </c>
      <c r="H214" s="542">
        <v>1.6093</v>
      </c>
      <c r="I214" s="545">
        <f t="shared" si="18"/>
        <v>254.67388418454104</v>
      </c>
      <c r="J214" s="546">
        <f t="shared" si="19"/>
        <v>293.5421734746333</v>
      </c>
      <c r="K214" s="546">
        <f t="shared" si="20"/>
        <v>10.690701208317565</v>
      </c>
    </row>
    <row r="215" spans="1:11" ht="15" customHeight="1" thickBot="1">
      <c r="A215" s="93">
        <f t="shared" si="14"/>
        <v>46</v>
      </c>
      <c r="E215" s="542">
        <v>23</v>
      </c>
      <c r="F215" s="543">
        <f t="shared" si="15"/>
        <v>0.3920272608695653</v>
      </c>
      <c r="G215" s="544">
        <f t="shared" si="16"/>
        <v>392.0272608695653</v>
      </c>
      <c r="H215" s="542">
        <v>1.6093</v>
      </c>
      <c r="I215" s="545">
        <f t="shared" si="18"/>
        <v>243.60110661130014</v>
      </c>
      <c r="J215" s="546">
        <f t="shared" si="19"/>
        <v>280.779470280084</v>
      </c>
      <c r="K215" s="546">
        <f t="shared" si="20"/>
        <v>10.225888112303757</v>
      </c>
    </row>
    <row r="216" spans="1:11" ht="15" customHeight="1" thickBot="1">
      <c r="A216" s="93">
        <f t="shared" si="14"/>
        <v>45</v>
      </c>
      <c r="E216" s="542">
        <v>24</v>
      </c>
      <c r="F216" s="543">
        <f t="shared" si="15"/>
        <v>0.37569279166666675</v>
      </c>
      <c r="G216" s="544">
        <f t="shared" si="16"/>
        <v>375.6927916666667</v>
      </c>
      <c r="H216" s="542">
        <v>1.6093</v>
      </c>
      <c r="I216" s="545">
        <f t="shared" si="18"/>
        <v>233.45106050249595</v>
      </c>
      <c r="J216" s="546">
        <f t="shared" si="19"/>
        <v>269.08032568508054</v>
      </c>
      <c r="K216" s="546">
        <f t="shared" si="20"/>
        <v>9.799809440957768</v>
      </c>
    </row>
    <row r="217" spans="1:11" ht="15" customHeight="1" thickBot="1">
      <c r="A217" s="93">
        <f t="shared" si="14"/>
        <v>44</v>
      </c>
      <c r="E217" s="542">
        <v>25</v>
      </c>
      <c r="F217" s="543">
        <f t="shared" si="15"/>
        <v>0.3606650800000001</v>
      </c>
      <c r="G217" s="544">
        <f t="shared" si="16"/>
        <v>360.6650800000001</v>
      </c>
      <c r="H217" s="542">
        <v>1.6093</v>
      </c>
      <c r="I217" s="545">
        <f t="shared" si="18"/>
        <v>224.11301808239614</v>
      </c>
      <c r="J217" s="546">
        <f t="shared" si="19"/>
        <v>258.3171126576773</v>
      </c>
      <c r="K217" s="546">
        <f t="shared" si="20"/>
        <v>9.407817063319456</v>
      </c>
    </row>
    <row r="218" spans="1:11" ht="15" customHeight="1" thickBot="1">
      <c r="A218" s="93">
        <f t="shared" si="14"/>
        <v>43</v>
      </c>
      <c r="E218" s="542">
        <v>26</v>
      </c>
      <c r="F218" s="543">
        <f t="shared" si="15"/>
        <v>0.3467933461538462</v>
      </c>
      <c r="G218" s="544">
        <f t="shared" si="16"/>
        <v>346.79334615384624</v>
      </c>
      <c r="H218" s="542">
        <v>1.6093</v>
      </c>
      <c r="I218" s="545">
        <f t="shared" si="18"/>
        <v>215.4932866176886</v>
      </c>
      <c r="J218" s="546">
        <f t="shared" si="19"/>
        <v>248.38183909392046</v>
      </c>
      <c r="K218" s="546">
        <f t="shared" si="20"/>
        <v>9.045977945499477</v>
      </c>
    </row>
    <row r="219" spans="1:11" ht="15" customHeight="1" thickBot="1">
      <c r="A219" s="93">
        <f t="shared" si="14"/>
        <v>42</v>
      </c>
      <c r="E219" s="542">
        <v>27</v>
      </c>
      <c r="F219" s="543">
        <f t="shared" si="15"/>
        <v>0.3339491481481482</v>
      </c>
      <c r="G219" s="544">
        <f t="shared" si="16"/>
        <v>333.9491481481482</v>
      </c>
      <c r="H219" s="542">
        <v>1.6093</v>
      </c>
      <c r="I219" s="545">
        <f t="shared" si="18"/>
        <v>207.5120537799964</v>
      </c>
      <c r="J219" s="546">
        <f t="shared" si="19"/>
        <v>239.18251172007157</v>
      </c>
      <c r="K219" s="546">
        <f t="shared" si="20"/>
        <v>8.710941725295793</v>
      </c>
    </row>
    <row r="220" spans="1:11" ht="15" customHeight="1" thickBot="1">
      <c r="A220" s="93">
        <f t="shared" si="14"/>
        <v>41</v>
      </c>
      <c r="E220" s="542">
        <v>28</v>
      </c>
      <c r="F220" s="543">
        <f t="shared" si="15"/>
        <v>0.3220223928571429</v>
      </c>
      <c r="G220" s="544">
        <f t="shared" si="16"/>
        <v>322.0223928571429</v>
      </c>
      <c r="H220" s="542">
        <v>1.6093</v>
      </c>
      <c r="I220" s="545">
        <f t="shared" si="17"/>
        <v>200.1009090021394</v>
      </c>
      <c r="J220" s="546">
        <f t="shared" si="12"/>
        <v>230.64027915864042</v>
      </c>
      <c r="K220" s="546">
        <f t="shared" si="13"/>
        <v>8.399836663678087</v>
      </c>
    </row>
    <row r="221" spans="1:11" ht="15" customHeight="1" thickBot="1">
      <c r="A221" s="93">
        <f t="shared" si="14"/>
        <v>40</v>
      </c>
      <c r="E221" s="542">
        <v>29</v>
      </c>
      <c r="F221" s="543">
        <f t="shared" si="15"/>
        <v>0.31091817241379316</v>
      </c>
      <c r="G221" s="544">
        <f t="shared" si="16"/>
        <v>310.9181724137932</v>
      </c>
      <c r="H221" s="542">
        <v>1.6093</v>
      </c>
      <c r="I221" s="545">
        <f t="shared" si="17"/>
        <v>193.20087765723804</v>
      </c>
      <c r="J221" s="546">
        <f t="shared" si="12"/>
        <v>222.68716608420456</v>
      </c>
      <c r="K221" s="546">
        <f t="shared" si="13"/>
        <v>8.110187123551254</v>
      </c>
    </row>
    <row r="222" spans="1:11" ht="15" customHeight="1" thickBot="1">
      <c r="A222" s="93">
        <f t="shared" si="14"/>
        <v>39</v>
      </c>
      <c r="E222" s="542">
        <v>30</v>
      </c>
      <c r="F222" s="543">
        <f t="shared" si="15"/>
        <v>0.30055423333333336</v>
      </c>
      <c r="G222" s="544">
        <f t="shared" si="16"/>
        <v>300.55423333333334</v>
      </c>
      <c r="H222" s="542">
        <v>1.6093</v>
      </c>
      <c r="I222" s="545">
        <f t="shared" si="17"/>
        <v>186.76084840199672</v>
      </c>
      <c r="J222" s="546">
        <f t="shared" si="12"/>
        <v>215.26426054806436</v>
      </c>
      <c r="K222" s="546">
        <f t="shared" si="13"/>
        <v>7.839847552766213</v>
      </c>
    </row>
    <row r="223" spans="1:11" ht="15" customHeight="1" thickBot="1">
      <c r="A223" s="93">
        <f t="shared" si="14"/>
        <v>38</v>
      </c>
      <c r="E223" s="542">
        <v>31</v>
      </c>
      <c r="F223" s="543">
        <f t="shared" si="15"/>
        <v>0.29085893548387104</v>
      </c>
      <c r="G223" s="544">
        <f t="shared" si="16"/>
        <v>290.85893548387105</v>
      </c>
      <c r="H223" s="542">
        <v>1.6093</v>
      </c>
      <c r="I223" s="545">
        <f t="shared" si="17"/>
        <v>180.7363049051582</v>
      </c>
      <c r="J223" s="546">
        <f t="shared" si="12"/>
        <v>208.32025214328817</v>
      </c>
      <c r="K223" s="546">
        <f t="shared" si="13"/>
        <v>7.586949244612465</v>
      </c>
    </row>
    <row r="224" spans="1:11" ht="15" customHeight="1" thickBot="1">
      <c r="A224" s="93">
        <f t="shared" si="14"/>
        <v>37</v>
      </c>
      <c r="E224" s="542">
        <v>32</v>
      </c>
      <c r="F224" s="543">
        <f t="shared" si="15"/>
        <v>0.28176959375000005</v>
      </c>
      <c r="G224" s="544">
        <f t="shared" si="16"/>
        <v>281.76959375000007</v>
      </c>
      <c r="H224" s="542">
        <v>1.6093</v>
      </c>
      <c r="I224" s="545">
        <f t="shared" si="17"/>
        <v>175.08829537687197</v>
      </c>
      <c r="J224" s="546">
        <f t="shared" si="12"/>
        <v>201.81024426381038</v>
      </c>
      <c r="K224" s="546">
        <f t="shared" si="13"/>
        <v>7.349857080718325</v>
      </c>
    </row>
    <row r="225" spans="1:11" ht="15" customHeight="1" thickBot="1">
      <c r="A225" s="93">
        <f t="shared" si="14"/>
        <v>36</v>
      </c>
      <c r="E225" s="542">
        <v>33</v>
      </c>
      <c r="F225" s="543">
        <f t="shared" si="15"/>
        <v>0.27323112121212123</v>
      </c>
      <c r="G225" s="544">
        <f t="shared" si="16"/>
        <v>273.23112121212125</v>
      </c>
      <c r="H225" s="542">
        <v>1.6093</v>
      </c>
      <c r="I225" s="545">
        <f t="shared" si="17"/>
        <v>169.78258945636068</v>
      </c>
      <c r="J225" s="546">
        <f t="shared" si="12"/>
        <v>195.69478231642216</v>
      </c>
      <c r="K225" s="546">
        <f t="shared" si="13"/>
        <v>7.127134138878375</v>
      </c>
    </row>
    <row r="226" spans="1:11" ht="15" customHeight="1" thickBot="1">
      <c r="A226" s="93">
        <f t="shared" si="14"/>
        <v>35</v>
      </c>
      <c r="E226" s="542">
        <v>34</v>
      </c>
      <c r="F226" s="543">
        <f t="shared" si="15"/>
        <v>0.26519491176470594</v>
      </c>
      <c r="G226" s="544">
        <f t="shared" si="16"/>
        <v>265.1949117647059</v>
      </c>
      <c r="H226" s="542">
        <v>1.6093</v>
      </c>
      <c r="I226" s="545">
        <f t="shared" si="17"/>
        <v>164.7889838841148</v>
      </c>
      <c r="J226" s="546">
        <f t="shared" si="12"/>
        <v>189.9390534247627</v>
      </c>
      <c r="K226" s="546">
        <f t="shared" si="13"/>
        <v>6.917512546558424</v>
      </c>
    </row>
    <row r="227" spans="1:11" ht="15" customHeight="1" thickBot="1">
      <c r="A227" s="93">
        <f t="shared" si="14"/>
        <v>34</v>
      </c>
      <c r="E227" s="542">
        <v>35</v>
      </c>
      <c r="F227" s="543">
        <f t="shared" si="15"/>
        <v>0.25761791428571434</v>
      </c>
      <c r="G227" s="544">
        <f t="shared" si="16"/>
        <v>257.61791428571433</v>
      </c>
      <c r="H227" s="542">
        <v>1.6093</v>
      </c>
      <c r="I227" s="545">
        <f t="shared" si="17"/>
        <v>160.0807272017115</v>
      </c>
      <c r="J227" s="546">
        <f t="shared" si="12"/>
        <v>184.51222332691233</v>
      </c>
      <c r="K227" s="546">
        <f t="shared" si="13"/>
        <v>6.719869330942469</v>
      </c>
    </row>
    <row r="228" spans="1:11" ht="15" customHeight="1" thickBot="1">
      <c r="A228" s="93">
        <f t="shared" si="14"/>
        <v>33</v>
      </c>
      <c r="E228" s="542">
        <v>36</v>
      </c>
      <c r="F228" s="543">
        <f t="shared" si="15"/>
        <v>0.25046186111111113</v>
      </c>
      <c r="G228" s="544">
        <f t="shared" si="16"/>
        <v>250.46186111111112</v>
      </c>
      <c r="H228" s="542">
        <v>1.6093</v>
      </c>
      <c r="I228" s="545">
        <f t="shared" si="17"/>
        <v>155.63404033499728</v>
      </c>
      <c r="J228" s="546">
        <f t="shared" si="12"/>
        <v>179.38688379005364</v>
      </c>
      <c r="K228" s="546">
        <f t="shared" si="13"/>
        <v>6.533206293971844</v>
      </c>
    </row>
    <row r="229" spans="1:11" ht="15" customHeight="1" thickBot="1">
      <c r="A229" s="93">
        <f t="shared" si="14"/>
        <v>32</v>
      </c>
      <c r="E229" s="542">
        <v>37</v>
      </c>
      <c r="F229" s="543">
        <f t="shared" si="15"/>
        <v>0.24369262162162167</v>
      </c>
      <c r="G229" s="544">
        <f t="shared" si="16"/>
        <v>243.69262162162167</v>
      </c>
      <c r="H229" s="542">
        <v>1.6093</v>
      </c>
      <c r="I229" s="545">
        <f t="shared" si="17"/>
        <v>151.4277149205379</v>
      </c>
      <c r="J229" s="546">
        <f t="shared" si="12"/>
        <v>174.53858963356572</v>
      </c>
      <c r="K229" s="546">
        <f t="shared" si="13"/>
        <v>6.356633150891525</v>
      </c>
    </row>
    <row r="230" spans="1:11" ht="15" customHeight="1" thickBot="1">
      <c r="A230" s="93">
        <f t="shared" si="14"/>
        <v>31</v>
      </c>
      <c r="E230" s="542">
        <v>38</v>
      </c>
      <c r="F230" s="543">
        <f t="shared" si="15"/>
        <v>0.23727965789473687</v>
      </c>
      <c r="G230" s="544">
        <f t="shared" si="16"/>
        <v>237.27965789473689</v>
      </c>
      <c r="H230" s="542">
        <v>1.6093</v>
      </c>
      <c r="I230" s="545">
        <f t="shared" si="17"/>
        <v>147.44277505420797</v>
      </c>
      <c r="J230" s="546">
        <f t="shared" si="12"/>
        <v>169.94546885373504</v>
      </c>
      <c r="K230" s="546">
        <f t="shared" si="13"/>
        <v>6.189353331131222</v>
      </c>
    </row>
    <row r="231" spans="1:11" ht="15" customHeight="1" thickBot="1">
      <c r="A231" s="93">
        <f t="shared" si="14"/>
        <v>30</v>
      </c>
      <c r="E231" s="542">
        <v>39</v>
      </c>
      <c r="F231" s="543">
        <f t="shared" si="15"/>
        <v>0.23119556410256414</v>
      </c>
      <c r="G231" s="544">
        <f t="shared" si="16"/>
        <v>231.19556410256413</v>
      </c>
      <c r="H231" s="542">
        <v>1.6093</v>
      </c>
      <c r="I231" s="545">
        <f t="shared" si="17"/>
        <v>143.66219107845905</v>
      </c>
      <c r="J231" s="546">
        <f t="shared" si="12"/>
        <v>165.5878927292803</v>
      </c>
      <c r="K231" s="546">
        <f t="shared" si="13"/>
        <v>6.030651963666318</v>
      </c>
    </row>
    <row r="232" spans="1:11" ht="15" customHeight="1" thickBot="1">
      <c r="A232" s="93">
        <f t="shared" si="14"/>
        <v>29</v>
      </c>
      <c r="E232" s="542">
        <v>40</v>
      </c>
      <c r="F232" s="543">
        <f t="shared" si="15"/>
        <v>0.22541567500000004</v>
      </c>
      <c r="G232" s="544">
        <f t="shared" si="16"/>
        <v>225.41567500000005</v>
      </c>
      <c r="H232" s="542">
        <v>1.6093</v>
      </c>
      <c r="I232" s="545">
        <f>G232/H232</f>
        <v>140.0706363014976</v>
      </c>
      <c r="J232" s="546">
        <f>I232*$E$191/E$190</f>
        <v>161.44819541104832</v>
      </c>
      <c r="K232" s="546">
        <f t="shared" si="13"/>
        <v>5.879885664574659</v>
      </c>
    </row>
    <row r="233" spans="1:11" ht="15" customHeight="1" thickBot="1">
      <c r="A233" s="93">
        <f t="shared" si="14"/>
        <v>28</v>
      </c>
      <c r="E233" s="542">
        <v>41</v>
      </c>
      <c r="F233" s="543">
        <f t="shared" si="15"/>
        <v>0.2199177317073171</v>
      </c>
      <c r="G233" s="544">
        <f t="shared" si="16"/>
        <v>219.9177317073171</v>
      </c>
      <c r="H233" s="542">
        <v>1.6093</v>
      </c>
      <c r="I233" s="545">
        <f>G233/H233</f>
        <v>136.6542793185342</v>
      </c>
      <c r="J233" s="546">
        <f>I233*$E$191/E$190</f>
        <v>157.51043454736418</v>
      </c>
      <c r="K233" s="546">
        <f t="shared" si="13"/>
        <v>5.736473819097229</v>
      </c>
    </row>
    <row r="234" spans="1:11" ht="15" customHeight="1" thickBot="1">
      <c r="A234" s="93">
        <f t="shared" si="14"/>
        <v>27</v>
      </c>
      <c r="E234" s="542">
        <v>42</v>
      </c>
      <c r="F234" s="543">
        <f t="shared" si="15"/>
        <v>0.21468159523809527</v>
      </c>
      <c r="G234" s="544">
        <f t="shared" si="16"/>
        <v>214.68159523809527</v>
      </c>
      <c r="H234" s="542">
        <v>1.6093</v>
      </c>
      <c r="I234" s="545">
        <f>G234/H234</f>
        <v>133.40060600142627</v>
      </c>
      <c r="J234" s="546">
        <f>I234*$E$191/E$190</f>
        <v>153.76018610576028</v>
      </c>
      <c r="K234" s="546">
        <f t="shared" si="13"/>
        <v>5.599891109118724</v>
      </c>
    </row>
    <row r="235" spans="1:11" ht="15" customHeight="1" thickBot="1">
      <c r="A235" s="93">
        <f t="shared" si="14"/>
        <v>26</v>
      </c>
      <c r="E235" s="542">
        <v>43</v>
      </c>
      <c r="F235" s="543">
        <f t="shared" si="15"/>
        <v>0.20968900000000004</v>
      </c>
      <c r="G235" s="544">
        <f t="shared" si="16"/>
        <v>209.68900000000005</v>
      </c>
      <c r="H235" s="542">
        <v>1.6093</v>
      </c>
      <c r="I235" s="545">
        <f aca="true" t="shared" si="21" ref="I235:I252">G235/H235</f>
        <v>130.2982663269745</v>
      </c>
      <c r="J235" s="546">
        <f aca="true" t="shared" si="22" ref="J235:J252">I235*$E$191/E$190</f>
        <v>150.18436782423097</v>
      </c>
      <c r="K235" s="546">
        <f aca="true" t="shared" si="23" ref="K235:K252">100/(E235/3.785*1.6093)</f>
        <v>5.469661083325265</v>
      </c>
    </row>
    <row r="236" spans="1:11" ht="15" customHeight="1" thickBot="1">
      <c r="A236" s="93">
        <f t="shared" si="14"/>
        <v>25</v>
      </c>
      <c r="E236" s="542">
        <v>44</v>
      </c>
      <c r="F236" s="543">
        <f t="shared" si="15"/>
        <v>0.20492334090909095</v>
      </c>
      <c r="G236" s="544">
        <f t="shared" si="16"/>
        <v>204.92334090909094</v>
      </c>
      <c r="H236" s="542">
        <v>1.6093</v>
      </c>
      <c r="I236" s="545">
        <f t="shared" si="21"/>
        <v>127.33694209227052</v>
      </c>
      <c r="J236" s="546">
        <f t="shared" si="22"/>
        <v>146.77108673731664</v>
      </c>
      <c r="K236" s="546">
        <f t="shared" si="23"/>
        <v>5.345350604158782</v>
      </c>
    </row>
    <row r="237" spans="1:11" ht="15" customHeight="1" thickBot="1">
      <c r="A237" s="93">
        <f t="shared" si="14"/>
        <v>24</v>
      </c>
      <c r="E237" s="542">
        <v>45</v>
      </c>
      <c r="F237" s="543">
        <f t="shared" si="15"/>
        <v>0.20036948888888892</v>
      </c>
      <c r="G237" s="544">
        <f t="shared" si="16"/>
        <v>200.36948888888892</v>
      </c>
      <c r="H237" s="542">
        <v>1.6093</v>
      </c>
      <c r="I237" s="545">
        <f t="shared" si="21"/>
        <v>124.50723226799785</v>
      </c>
      <c r="J237" s="546">
        <f t="shared" si="22"/>
        <v>143.50950703204293</v>
      </c>
      <c r="K237" s="546">
        <f t="shared" si="23"/>
        <v>5.226565035177476</v>
      </c>
    </row>
    <row r="238" spans="1:11" ht="15" customHeight="1" thickBot="1">
      <c r="A238" s="93">
        <f t="shared" si="14"/>
        <v>23</v>
      </c>
      <c r="E238" s="542">
        <v>46</v>
      </c>
      <c r="F238" s="543">
        <f t="shared" si="15"/>
        <v>0.19601363043478265</v>
      </c>
      <c r="G238" s="544">
        <f t="shared" si="16"/>
        <v>196.01363043478264</v>
      </c>
      <c r="H238" s="542">
        <v>1.6093</v>
      </c>
      <c r="I238" s="545">
        <f t="shared" si="21"/>
        <v>121.80055330565007</v>
      </c>
      <c r="J238" s="546">
        <f t="shared" si="22"/>
        <v>140.389735140042</v>
      </c>
      <c r="K238" s="546">
        <f t="shared" si="23"/>
        <v>5.112944056151878</v>
      </c>
    </row>
    <row r="239" spans="1:11" ht="15" customHeight="1" thickBot="1">
      <c r="A239" s="93">
        <f t="shared" si="14"/>
        <v>22</v>
      </c>
      <c r="E239" s="542">
        <v>47</v>
      </c>
      <c r="F239" s="543">
        <f t="shared" si="15"/>
        <v>0.1918431276595745</v>
      </c>
      <c r="G239" s="544">
        <f t="shared" si="16"/>
        <v>191.84312765957452</v>
      </c>
      <c r="H239" s="542">
        <v>1.6093</v>
      </c>
      <c r="I239" s="545">
        <f t="shared" si="21"/>
        <v>119.20905217148731</v>
      </c>
      <c r="J239" s="546">
        <f t="shared" si="22"/>
        <v>137.40271949876455</v>
      </c>
      <c r="K239" s="546">
        <f t="shared" si="23"/>
        <v>5.004158012403965</v>
      </c>
    </row>
    <row r="240" spans="1:11" ht="15" customHeight="1" thickBot="1">
      <c r="A240" s="93">
        <f t="shared" si="14"/>
        <v>21</v>
      </c>
      <c r="E240" s="542">
        <v>48</v>
      </c>
      <c r="F240" s="543">
        <f t="shared" si="15"/>
        <v>0.18784639583333337</v>
      </c>
      <c r="G240" s="544">
        <f t="shared" si="16"/>
        <v>187.84639583333336</v>
      </c>
      <c r="H240" s="542">
        <v>1.6093</v>
      </c>
      <c r="I240" s="545">
        <f t="shared" si="21"/>
        <v>116.72553025124797</v>
      </c>
      <c r="J240" s="546">
        <f t="shared" si="22"/>
        <v>134.54016284254027</v>
      </c>
      <c r="K240" s="546">
        <f t="shared" si="23"/>
        <v>4.899904720478884</v>
      </c>
    </row>
    <row r="241" spans="1:11" ht="15" customHeight="1" thickBot="1">
      <c r="A241" s="93">
        <f t="shared" si="14"/>
        <v>20</v>
      </c>
      <c r="E241" s="542">
        <v>49</v>
      </c>
      <c r="F241" s="543">
        <f t="shared" si="15"/>
        <v>0.1840127959183674</v>
      </c>
      <c r="G241" s="544">
        <f t="shared" si="16"/>
        <v>184.0127959183674</v>
      </c>
      <c r="H241" s="542">
        <v>1.6093</v>
      </c>
      <c r="I241" s="545">
        <f t="shared" si="21"/>
        <v>114.3433765726511</v>
      </c>
      <c r="J241" s="546">
        <f t="shared" si="22"/>
        <v>131.79444523350884</v>
      </c>
      <c r="K241" s="546">
        <f t="shared" si="23"/>
        <v>4.799906664958907</v>
      </c>
    </row>
    <row r="242" spans="1:11" ht="15" customHeight="1" thickBot="1">
      <c r="A242" s="93">
        <f t="shared" si="14"/>
        <v>19</v>
      </c>
      <c r="E242" s="542">
        <v>50</v>
      </c>
      <c r="F242" s="543">
        <f t="shared" si="15"/>
        <v>0.18033254000000004</v>
      </c>
      <c r="G242" s="544">
        <f t="shared" si="16"/>
        <v>180.33254000000005</v>
      </c>
      <c r="H242" s="542">
        <v>1.6093</v>
      </c>
      <c r="I242" s="545">
        <f t="shared" si="21"/>
        <v>112.05650904119807</v>
      </c>
      <c r="J242" s="546">
        <f t="shared" si="22"/>
        <v>129.15855632883864</v>
      </c>
      <c r="K242" s="546">
        <f t="shared" si="23"/>
        <v>4.703908531659728</v>
      </c>
    </row>
    <row r="243" spans="1:11" ht="15" customHeight="1" thickBot="1">
      <c r="A243" s="93">
        <f t="shared" si="14"/>
        <v>18</v>
      </c>
      <c r="E243" s="542">
        <v>51</v>
      </c>
      <c r="F243" s="543">
        <f t="shared" si="15"/>
        <v>0.17679660784313728</v>
      </c>
      <c r="G243" s="544">
        <f t="shared" si="16"/>
        <v>176.79660784313728</v>
      </c>
      <c r="H243" s="542">
        <v>1.6093</v>
      </c>
      <c r="I243" s="545">
        <f t="shared" si="21"/>
        <v>109.85932258940986</v>
      </c>
      <c r="J243" s="546">
        <f t="shared" si="22"/>
        <v>126.62603561650847</v>
      </c>
      <c r="K243" s="546">
        <f t="shared" si="23"/>
        <v>4.611675031038949</v>
      </c>
    </row>
    <row r="244" spans="1:11" ht="15" customHeight="1" thickBot="1">
      <c r="A244" s="93">
        <f t="shared" si="14"/>
        <v>17</v>
      </c>
      <c r="E244" s="542">
        <v>52</v>
      </c>
      <c r="F244" s="543">
        <f t="shared" si="15"/>
        <v>0.1733966730769231</v>
      </c>
      <c r="G244" s="544">
        <f t="shared" si="16"/>
        <v>173.39667307692312</v>
      </c>
      <c r="H244" s="542">
        <v>1.6093</v>
      </c>
      <c r="I244" s="545">
        <f t="shared" si="21"/>
        <v>107.7466433088443</v>
      </c>
      <c r="J244" s="546">
        <f t="shared" si="22"/>
        <v>124.19091954696023</v>
      </c>
      <c r="K244" s="546">
        <f t="shared" si="23"/>
        <v>4.522988972749738</v>
      </c>
    </row>
    <row r="245" spans="1:11" ht="15" customHeight="1" thickBot="1">
      <c r="A245" s="93">
        <f t="shared" si="14"/>
        <v>16</v>
      </c>
      <c r="E245" s="542">
        <v>53</v>
      </c>
      <c r="F245" s="543">
        <f t="shared" si="15"/>
        <v>0.17012503773584908</v>
      </c>
      <c r="G245" s="544">
        <f t="shared" si="16"/>
        <v>170.12503773584908</v>
      </c>
      <c r="H245" s="542">
        <v>1.6093</v>
      </c>
      <c r="I245" s="545">
        <f t="shared" si="21"/>
        <v>105.71368777471514</v>
      </c>
      <c r="J245" s="546">
        <f t="shared" si="22"/>
        <v>121.84769464984777</v>
      </c>
      <c r="K245" s="546">
        <f t="shared" si="23"/>
        <v>4.4376495581695545</v>
      </c>
    </row>
    <row r="246" spans="1:11" ht="15" customHeight="1" thickBot="1">
      <c r="A246" s="93">
        <f t="shared" si="14"/>
        <v>15</v>
      </c>
      <c r="E246" s="542">
        <v>54</v>
      </c>
      <c r="F246" s="543">
        <f t="shared" si="15"/>
        <v>0.1669745740740741</v>
      </c>
      <c r="G246" s="544">
        <f t="shared" si="16"/>
        <v>166.9745740740741</v>
      </c>
      <c r="H246" s="542">
        <v>1.6093</v>
      </c>
      <c r="I246" s="545">
        <f t="shared" si="21"/>
        <v>103.7560268899982</v>
      </c>
      <c r="J246" s="546">
        <f t="shared" si="22"/>
        <v>119.59125586003579</v>
      </c>
      <c r="K246" s="546">
        <f t="shared" si="23"/>
        <v>4.355470862647897</v>
      </c>
    </row>
    <row r="247" spans="1:11" ht="15" customHeight="1" thickBot="1">
      <c r="A247" s="93">
        <f t="shared" si="14"/>
        <v>14</v>
      </c>
      <c r="E247" s="542">
        <v>55</v>
      </c>
      <c r="F247" s="543">
        <f t="shared" si="15"/>
        <v>0.16393867272727275</v>
      </c>
      <c r="G247" s="544">
        <f t="shared" si="16"/>
        <v>163.93867272727275</v>
      </c>
      <c r="H247" s="542">
        <v>1.6093</v>
      </c>
      <c r="I247" s="545">
        <f t="shared" si="21"/>
        <v>101.86955367381641</v>
      </c>
      <c r="J247" s="546">
        <f t="shared" si="22"/>
        <v>117.41686938985332</v>
      </c>
      <c r="K247" s="546">
        <f t="shared" si="23"/>
        <v>4.276280483327025</v>
      </c>
    </row>
    <row r="248" spans="1:11" ht="15" customHeight="1" thickBot="1">
      <c r="A248" s="93">
        <f t="shared" si="14"/>
        <v>13</v>
      </c>
      <c r="E248" s="542">
        <v>56</v>
      </c>
      <c r="F248" s="543">
        <f t="shared" si="15"/>
        <v>0.16101119642857145</v>
      </c>
      <c r="G248" s="544">
        <f t="shared" si="16"/>
        <v>161.01119642857145</v>
      </c>
      <c r="H248" s="542">
        <v>1.6093</v>
      </c>
      <c r="I248" s="545">
        <f t="shared" si="21"/>
        <v>100.0504545010697</v>
      </c>
      <c r="J248" s="546">
        <f t="shared" si="22"/>
        <v>115.32013957932021</v>
      </c>
      <c r="K248" s="546">
        <f t="shared" si="23"/>
        <v>4.199918331839044</v>
      </c>
    </row>
    <row r="249" spans="1:11" ht="15" customHeight="1" thickBot="1">
      <c r="A249" s="93">
        <f t="shared" si="14"/>
        <v>12</v>
      </c>
      <c r="E249" s="542">
        <v>57</v>
      </c>
      <c r="F249" s="543">
        <f t="shared" si="15"/>
        <v>0.15818643859649126</v>
      </c>
      <c r="G249" s="544">
        <f t="shared" si="16"/>
        <v>158.18643859649126</v>
      </c>
      <c r="H249" s="542">
        <v>1.6093</v>
      </c>
      <c r="I249" s="545">
        <f t="shared" si="21"/>
        <v>98.29518336947199</v>
      </c>
      <c r="J249" s="546">
        <f t="shared" si="22"/>
        <v>113.29697923582337</v>
      </c>
      <c r="K249" s="546">
        <f t="shared" si="23"/>
        <v>4.126235554087481</v>
      </c>
    </row>
    <row r="250" spans="1:11" ht="15" customHeight="1" thickBot="1">
      <c r="A250" s="93">
        <f t="shared" si="14"/>
        <v>11</v>
      </c>
      <c r="E250" s="542">
        <v>58</v>
      </c>
      <c r="F250" s="543">
        <f t="shared" si="15"/>
        <v>0.15545908620689658</v>
      </c>
      <c r="G250" s="544">
        <f t="shared" si="16"/>
        <v>155.4590862068966</v>
      </c>
      <c r="H250" s="542">
        <v>1.6093</v>
      </c>
      <c r="I250" s="545">
        <f t="shared" si="21"/>
        <v>96.60043882861902</v>
      </c>
      <c r="J250" s="546">
        <f t="shared" si="22"/>
        <v>111.34358304210228</v>
      </c>
      <c r="K250" s="546">
        <f t="shared" si="23"/>
        <v>4.055093561775627</v>
      </c>
    </row>
    <row r="251" spans="1:11" ht="15" customHeight="1" thickBot="1">
      <c r="A251" s="93">
        <f t="shared" si="14"/>
        <v>10</v>
      </c>
      <c r="E251" s="542">
        <v>59</v>
      </c>
      <c r="F251" s="543">
        <f t="shared" si="15"/>
        <v>0.152824186440678</v>
      </c>
      <c r="G251" s="544">
        <f t="shared" si="16"/>
        <v>152.824186440678</v>
      </c>
      <c r="H251" s="542">
        <v>1.6093</v>
      </c>
      <c r="I251" s="545">
        <f t="shared" si="21"/>
        <v>94.9631432552526</v>
      </c>
      <c r="J251" s="546">
        <f t="shared" si="22"/>
        <v>109.45640366850733</v>
      </c>
      <c r="K251" s="546">
        <f t="shared" si="23"/>
        <v>3.9863631624234985</v>
      </c>
    </row>
    <row r="252" spans="1:11" ht="15" customHeight="1" thickBot="1">
      <c r="A252" s="93">
        <f t="shared" si="14"/>
        <v>9</v>
      </c>
      <c r="E252" s="542">
        <v>60</v>
      </c>
      <c r="F252" s="543">
        <f t="shared" si="15"/>
        <v>0.15027711666666668</v>
      </c>
      <c r="G252" s="544">
        <f t="shared" si="16"/>
        <v>150.27711666666667</v>
      </c>
      <c r="H252" s="542">
        <v>1.6093</v>
      </c>
      <c r="I252" s="545">
        <f t="shared" si="21"/>
        <v>93.38042420099836</v>
      </c>
      <c r="J252" s="546">
        <f t="shared" si="22"/>
        <v>107.63213027403218</v>
      </c>
      <c r="K252" s="546">
        <f t="shared" si="23"/>
        <v>3.9199237763831065</v>
      </c>
    </row>
    <row r="253" spans="1:11" ht="15" customHeight="1" thickBot="1">
      <c r="A253" s="93">
        <f t="shared" si="14"/>
        <v>8</v>
      </c>
      <c r="E253" s="542">
        <v>61</v>
      </c>
      <c r="F253" s="543">
        <f t="shared" si="15"/>
        <v>0.1478135573770492</v>
      </c>
      <c r="G253" s="544">
        <f t="shared" si="16"/>
        <v>147.81355737704922</v>
      </c>
      <c r="H253" s="542">
        <v>1.6093</v>
      </c>
      <c r="I253" s="545">
        <f aca="true" t="shared" si="24" ref="I253:I259">G253/H253</f>
        <v>91.84959757475252</v>
      </c>
      <c r="J253" s="546">
        <f aca="true" t="shared" si="25" ref="J253:J259">I253*$E$191/E$190</f>
        <v>105.8676691219989</v>
      </c>
      <c r="K253" s="546">
        <f aca="true" t="shared" si="26" ref="K253:K259">100/(E253/3.785*1.6093)</f>
        <v>3.8556627308686298</v>
      </c>
    </row>
    <row r="254" spans="1:11" ht="15" customHeight="1" thickBot="1">
      <c r="A254" s="93">
        <f t="shared" si="14"/>
        <v>7</v>
      </c>
      <c r="E254" s="542">
        <v>62</v>
      </c>
      <c r="F254" s="543">
        <f t="shared" si="15"/>
        <v>0.14542946774193552</v>
      </c>
      <c r="G254" s="544">
        <f t="shared" si="16"/>
        <v>145.42946774193553</v>
      </c>
      <c r="H254" s="542">
        <v>1.6093</v>
      </c>
      <c r="I254" s="545">
        <f t="shared" si="24"/>
        <v>90.3681524525791</v>
      </c>
      <c r="J254" s="546">
        <f t="shared" si="25"/>
        <v>104.16012607164409</v>
      </c>
      <c r="K254" s="546">
        <f t="shared" si="26"/>
        <v>3.7934746223062326</v>
      </c>
    </row>
    <row r="255" spans="1:11" ht="15" customHeight="1" thickBot="1">
      <c r="A255" s="93">
        <f t="shared" si="14"/>
        <v>6</v>
      </c>
      <c r="E255" s="542">
        <v>63</v>
      </c>
      <c r="F255" s="543">
        <f t="shared" si="15"/>
        <v>0.14312106349206352</v>
      </c>
      <c r="G255" s="544">
        <f t="shared" si="16"/>
        <v>143.1210634920635</v>
      </c>
      <c r="H255" s="542">
        <v>1.6093</v>
      </c>
      <c r="I255" s="545">
        <f t="shared" si="24"/>
        <v>88.93373733428417</v>
      </c>
      <c r="J255" s="546">
        <f t="shared" si="25"/>
        <v>102.50679073717353</v>
      </c>
      <c r="K255" s="546">
        <f t="shared" si="26"/>
        <v>3.733260739412483</v>
      </c>
    </row>
    <row r="256" spans="1:11" ht="15" customHeight="1" thickBot="1">
      <c r="A256" s="93">
        <f t="shared" si="14"/>
        <v>5</v>
      </c>
      <c r="E256" s="542">
        <v>64</v>
      </c>
      <c r="F256" s="543">
        <f t="shared" si="15"/>
        <v>0.14088479687500002</v>
      </c>
      <c r="G256" s="544">
        <f t="shared" si="16"/>
        <v>140.88479687500003</v>
      </c>
      <c r="H256" s="542">
        <v>1.6093</v>
      </c>
      <c r="I256" s="545">
        <f t="shared" si="24"/>
        <v>87.54414768843598</v>
      </c>
      <c r="J256" s="546">
        <f t="shared" si="25"/>
        <v>100.90512213190519</v>
      </c>
      <c r="K256" s="546">
        <f t="shared" si="26"/>
        <v>3.6749285403591627</v>
      </c>
    </row>
    <row r="257" spans="1:11" ht="15" customHeight="1" thickBot="1">
      <c r="A257" s="93">
        <f t="shared" si="14"/>
        <v>4</v>
      </c>
      <c r="E257" s="542">
        <v>65</v>
      </c>
      <c r="F257" s="543">
        <f t="shared" si="15"/>
        <v>0.1387173384615385</v>
      </c>
      <c r="G257" s="544">
        <f t="shared" si="16"/>
        <v>138.7173384615385</v>
      </c>
      <c r="H257" s="542">
        <v>1.6093</v>
      </c>
      <c r="I257" s="545">
        <f t="shared" si="24"/>
        <v>86.19731464707544</v>
      </c>
      <c r="J257" s="546">
        <f t="shared" si="25"/>
        <v>99.3527356375682</v>
      </c>
      <c r="K257" s="546">
        <f t="shared" si="26"/>
        <v>3.6183911781997904</v>
      </c>
    </row>
    <row r="258" spans="1:11" ht="15" customHeight="1" thickBot="1">
      <c r="A258" s="93">
        <f t="shared" si="14"/>
        <v>3</v>
      </c>
      <c r="E258" s="542">
        <v>66</v>
      </c>
      <c r="F258" s="543">
        <f t="shared" si="15"/>
        <v>0.13661556060606062</v>
      </c>
      <c r="G258" s="544">
        <f t="shared" si="16"/>
        <v>136.61556060606063</v>
      </c>
      <c r="H258" s="542">
        <v>1.6093</v>
      </c>
      <c r="I258" s="545">
        <f t="shared" si="24"/>
        <v>84.89129472818034</v>
      </c>
      <c r="J258" s="546">
        <f t="shared" si="25"/>
        <v>97.84739115821108</v>
      </c>
      <c r="K258" s="546">
        <f t="shared" si="26"/>
        <v>3.5635670694391877</v>
      </c>
    </row>
    <row r="259" spans="1:11" ht="15" customHeight="1" thickBot="1">
      <c r="A259" s="93">
        <f t="shared" si="14"/>
        <v>2</v>
      </c>
      <c r="E259" s="542">
        <v>67</v>
      </c>
      <c r="F259" s="543">
        <f t="shared" si="15"/>
        <v>0.13457652238805973</v>
      </c>
      <c r="G259" s="544">
        <f t="shared" si="16"/>
        <v>134.57652238805971</v>
      </c>
      <c r="H259" s="542">
        <v>1.6093</v>
      </c>
      <c r="I259" s="545">
        <f t="shared" si="24"/>
        <v>83.624260478506</v>
      </c>
      <c r="J259" s="546">
        <f t="shared" si="25"/>
        <v>96.3869823349542</v>
      </c>
      <c r="K259" s="546">
        <f t="shared" si="26"/>
        <v>3.510379501238603</v>
      </c>
    </row>
    <row r="260" spans="1:11" ht="15" customHeight="1" thickBot="1">
      <c r="A260" s="93">
        <f t="shared" si="14"/>
        <v>1</v>
      </c>
      <c r="E260" s="320"/>
      <c r="F260" s="487"/>
      <c r="G260" s="488"/>
      <c r="H260" s="320"/>
      <c r="I260" s="489"/>
      <c r="J260" s="452"/>
      <c r="K260" s="452"/>
    </row>
    <row r="261" spans="1:4" s="139" customFormat="1" ht="21.75" customHeight="1" thickBot="1">
      <c r="A261" s="93">
        <f t="shared" si="14"/>
        <v>43</v>
      </c>
      <c r="C261" s="330"/>
      <c r="D261" s="331" t="s">
        <v>425</v>
      </c>
    </row>
    <row r="262" spans="1:15" s="572" customFormat="1" ht="15" customHeight="1" thickBot="1">
      <c r="A262" s="93">
        <f t="shared" si="14"/>
        <v>42</v>
      </c>
      <c r="C262" s="573"/>
      <c r="D262" s="574"/>
      <c r="E262" s="856" t="s">
        <v>1019</v>
      </c>
      <c r="L262" s="857"/>
      <c r="M262" s="857"/>
      <c r="N262" s="857"/>
      <c r="O262" s="857"/>
    </row>
    <row r="263" spans="1:15" s="572" customFormat="1" ht="15" customHeight="1" thickBot="1">
      <c r="A263" s="93">
        <f aca="true" t="shared" si="27" ref="A263:A326">IF(ISTEXT(D264),1,1+A264)</f>
        <v>41</v>
      </c>
      <c r="C263" s="924"/>
      <c r="D263" s="574"/>
      <c r="E263" s="858" t="s">
        <v>756</v>
      </c>
      <c r="F263" s="572" t="s">
        <v>624</v>
      </c>
      <c r="K263" s="490" t="s">
        <v>452</v>
      </c>
      <c r="L263" s="572" t="s">
        <v>451</v>
      </c>
      <c r="M263" s="857"/>
      <c r="N263" s="857"/>
      <c r="O263" s="857"/>
    </row>
    <row r="264" spans="1:16" ht="15" customHeight="1" thickBot="1">
      <c r="A264" s="93">
        <f t="shared" si="27"/>
        <v>40</v>
      </c>
      <c r="C264" s="1"/>
      <c r="E264" s="898" t="s">
        <v>601</v>
      </c>
      <c r="F264" s="494"/>
      <c r="G264" s="494"/>
      <c r="H264" s="494"/>
      <c r="I264" s="494"/>
      <c r="J264" s="494"/>
      <c r="L264" s="496" t="s">
        <v>453</v>
      </c>
      <c r="M264" s="495"/>
      <c r="N264" s="495"/>
      <c r="O264" s="495"/>
      <c r="P264" s="490"/>
    </row>
    <row r="265" spans="1:18" ht="15" customHeight="1" thickBot="1">
      <c r="A265" s="93">
        <f t="shared" si="27"/>
        <v>39</v>
      </c>
      <c r="C265" s="1"/>
      <c r="E265" s="897" t="s">
        <v>600</v>
      </c>
      <c r="F265" s="821"/>
      <c r="G265" s="821"/>
      <c r="H265" s="859" t="s">
        <v>454</v>
      </c>
      <c r="I265" s="821"/>
      <c r="J265" s="821"/>
      <c r="K265" s="860" t="s">
        <v>455</v>
      </c>
      <c r="L265" s="859" t="s">
        <v>456</v>
      </c>
      <c r="M265" s="859"/>
      <c r="N265" s="34"/>
      <c r="O265" s="861" t="s">
        <v>457</v>
      </c>
      <c r="P265" s="861" t="s">
        <v>457</v>
      </c>
      <c r="Q265" s="34"/>
      <c r="R265" s="208"/>
    </row>
    <row r="266" spans="1:18" ht="15" customHeight="1" thickBot="1">
      <c r="A266" s="93">
        <f t="shared" si="27"/>
        <v>38</v>
      </c>
      <c r="C266" s="1"/>
      <c r="E266" s="862" t="s">
        <v>599</v>
      </c>
      <c r="F266" s="844"/>
      <c r="G266" s="844">
        <v>1980</v>
      </c>
      <c r="H266" s="844">
        <v>1985</v>
      </c>
      <c r="I266" s="844">
        <v>1990</v>
      </c>
      <c r="J266" s="844">
        <v>1991</v>
      </c>
      <c r="K266" s="844">
        <v>1992</v>
      </c>
      <c r="L266" s="844">
        <v>1993</v>
      </c>
      <c r="M266" s="844">
        <v>1994</v>
      </c>
      <c r="N266" s="844">
        <v>1995</v>
      </c>
      <c r="O266" s="844">
        <v>1996</v>
      </c>
      <c r="P266" s="844">
        <v>1997</v>
      </c>
      <c r="Q266" s="844">
        <v>1998</v>
      </c>
      <c r="R266" s="901">
        <v>1999</v>
      </c>
    </row>
    <row r="267" spans="1:18" ht="15" customHeight="1" thickBot="1">
      <c r="A267" s="93">
        <f t="shared" si="27"/>
        <v>37</v>
      </c>
      <c r="C267" s="1"/>
      <c r="E267" s="864" t="s">
        <v>458</v>
      </c>
      <c r="F267" s="843"/>
      <c r="G267" s="843">
        <v>15.9</v>
      </c>
      <c r="H267" s="843">
        <v>17.4</v>
      </c>
      <c r="I267" s="843">
        <v>20.2</v>
      </c>
      <c r="J267" s="843">
        <v>21.1</v>
      </c>
      <c r="K267" s="843">
        <v>21</v>
      </c>
      <c r="L267" s="843">
        <v>20.5</v>
      </c>
      <c r="M267" s="843">
        <v>20.7</v>
      </c>
      <c r="N267" s="843">
        <v>21.1</v>
      </c>
      <c r="O267" s="903">
        <v>21.2</v>
      </c>
      <c r="P267" s="843">
        <v>21.5</v>
      </c>
      <c r="Q267" s="905" t="s">
        <v>607</v>
      </c>
      <c r="R267" s="44">
        <v>21.4</v>
      </c>
    </row>
    <row r="268" spans="1:18" ht="15" customHeight="1" thickBot="1">
      <c r="A268" s="93">
        <f t="shared" si="27"/>
        <v>36</v>
      </c>
      <c r="C268" s="1"/>
      <c r="E268" s="865" t="s">
        <v>459</v>
      </c>
      <c r="F268" s="866"/>
      <c r="G268" s="843">
        <v>12.2</v>
      </c>
      <c r="H268" s="843">
        <v>14.3</v>
      </c>
      <c r="I268" s="843">
        <v>16.1</v>
      </c>
      <c r="J268" s="843">
        <v>17</v>
      </c>
      <c r="K268" s="843">
        <v>17.3</v>
      </c>
      <c r="L268" s="843">
        <v>17.4</v>
      </c>
      <c r="M268" s="843">
        <v>17.3</v>
      </c>
      <c r="N268" s="843">
        <v>17.3</v>
      </c>
      <c r="O268" s="904">
        <v>17.2</v>
      </c>
      <c r="P268" s="843">
        <v>17.2</v>
      </c>
      <c r="Q268" s="905" t="s">
        <v>460</v>
      </c>
      <c r="R268" s="44">
        <v>17.1</v>
      </c>
    </row>
    <row r="269" spans="1:18" ht="15" customHeight="1" thickBot="1">
      <c r="A269" s="93">
        <f t="shared" si="27"/>
        <v>35</v>
      </c>
      <c r="C269" s="1"/>
      <c r="E269" s="862" t="s">
        <v>461</v>
      </c>
      <c r="F269" s="863"/>
      <c r="G269" s="863"/>
      <c r="H269" s="863"/>
      <c r="I269" s="863"/>
      <c r="J269" s="863"/>
      <c r="K269" s="863"/>
      <c r="L269" s="863"/>
      <c r="M269" s="863"/>
      <c r="N269" s="863"/>
      <c r="O269" s="900"/>
      <c r="P269" s="863"/>
      <c r="Q269" s="863"/>
      <c r="R269" s="44"/>
    </row>
    <row r="270" spans="1:18" ht="15" customHeight="1" thickBot="1">
      <c r="A270" s="93">
        <f t="shared" si="27"/>
        <v>34</v>
      </c>
      <c r="C270" s="1"/>
      <c r="E270" s="867" t="s">
        <v>462</v>
      </c>
      <c r="F270" s="520"/>
      <c r="G270" s="863"/>
      <c r="H270" s="863"/>
      <c r="I270" s="863"/>
      <c r="J270" s="863"/>
      <c r="K270" s="863"/>
      <c r="L270" s="863"/>
      <c r="M270" s="863"/>
      <c r="N270" s="863"/>
      <c r="O270" s="863"/>
      <c r="P270" s="863"/>
      <c r="Q270" s="863"/>
      <c r="R270" s="44"/>
    </row>
    <row r="271" spans="1:18" ht="15" customHeight="1" thickBot="1">
      <c r="A271" s="93">
        <f t="shared" si="27"/>
        <v>33</v>
      </c>
      <c r="C271" s="1"/>
      <c r="E271" s="864" t="s">
        <v>463</v>
      </c>
      <c r="F271" s="843"/>
      <c r="G271" s="843">
        <v>21.4</v>
      </c>
      <c r="H271" s="843">
        <v>24</v>
      </c>
      <c r="I271" s="843">
        <v>23.9</v>
      </c>
      <c r="J271" s="843">
        <v>24.4</v>
      </c>
      <c r="K271" s="843">
        <v>23.9</v>
      </c>
      <c r="L271" s="843">
        <v>24.3</v>
      </c>
      <c r="M271" s="843">
        <v>23.7</v>
      </c>
      <c r="N271" s="843">
        <v>23.8</v>
      </c>
      <c r="O271" s="843">
        <v>24.1</v>
      </c>
      <c r="P271" s="905" t="s">
        <v>603</v>
      </c>
      <c r="Q271" s="905" t="s">
        <v>603</v>
      </c>
      <c r="R271" s="44">
        <v>23.7</v>
      </c>
    </row>
    <row r="272" spans="1:18" ht="15" customHeight="1" thickBot="1">
      <c r="A272" s="93">
        <f t="shared" si="27"/>
        <v>32</v>
      </c>
      <c r="C272" s="1"/>
      <c r="E272" s="864" t="s">
        <v>464</v>
      </c>
      <c r="F272" s="843"/>
      <c r="G272" s="843">
        <v>28.6</v>
      </c>
      <c r="H272" s="843">
        <v>30.3</v>
      </c>
      <c r="I272" s="843">
        <v>28.5</v>
      </c>
      <c r="J272" s="843">
        <v>28.4</v>
      </c>
      <c r="K272" s="843">
        <v>27.9</v>
      </c>
      <c r="L272" s="843">
        <v>28.1</v>
      </c>
      <c r="M272" s="843">
        <v>27.7</v>
      </c>
      <c r="N272" s="843">
        <v>27.9</v>
      </c>
      <c r="O272" s="843">
        <v>27.7</v>
      </c>
      <c r="P272" s="843">
        <v>27.5</v>
      </c>
      <c r="Q272" s="843">
        <v>27.6</v>
      </c>
      <c r="R272" s="44">
        <v>26.9</v>
      </c>
    </row>
    <row r="273" spans="1:18" ht="15" customHeight="1" thickBot="1">
      <c r="A273" s="93">
        <f t="shared" si="27"/>
        <v>31</v>
      </c>
      <c r="C273" s="1"/>
      <c r="E273" s="864" t="s">
        <v>465</v>
      </c>
      <c r="F273" s="843"/>
      <c r="G273" s="843"/>
      <c r="H273" s="33"/>
      <c r="I273" s="33"/>
      <c r="J273" s="33"/>
      <c r="K273" s="33"/>
      <c r="L273" s="33"/>
      <c r="M273" s="33"/>
      <c r="N273" s="33"/>
      <c r="O273" s="33"/>
      <c r="P273" s="33"/>
      <c r="Q273" s="33"/>
      <c r="R273" s="44"/>
    </row>
    <row r="274" spans="1:18" ht="15" customHeight="1" thickBot="1">
      <c r="A274" s="93">
        <f t="shared" si="27"/>
        <v>30</v>
      </c>
      <c r="C274" s="1"/>
      <c r="E274" s="864" t="s">
        <v>466</v>
      </c>
      <c r="F274" s="843"/>
      <c r="G274" s="843">
        <v>22.6</v>
      </c>
      <c r="H274" s="843">
        <v>26.3</v>
      </c>
      <c r="I274" s="843">
        <v>26.9</v>
      </c>
      <c r="J274" s="843">
        <v>27.3</v>
      </c>
      <c r="K274" s="843">
        <v>27</v>
      </c>
      <c r="L274" s="843">
        <v>27.8</v>
      </c>
      <c r="M274" s="843">
        <v>27.5</v>
      </c>
      <c r="N274" s="843">
        <v>27.7</v>
      </c>
      <c r="O274" s="843">
        <v>28.3</v>
      </c>
      <c r="P274" s="905" t="s">
        <v>604</v>
      </c>
      <c r="Q274" s="843">
        <v>28.1</v>
      </c>
      <c r="R274" s="44">
        <v>28.2</v>
      </c>
    </row>
    <row r="275" spans="1:18" ht="15" customHeight="1" thickBot="1">
      <c r="A275" s="93">
        <f t="shared" si="27"/>
        <v>29</v>
      </c>
      <c r="C275" s="1"/>
      <c r="E275" s="864" t="s">
        <v>467</v>
      </c>
      <c r="F275" s="843"/>
      <c r="G275" s="843">
        <v>29.6</v>
      </c>
      <c r="H275" s="843">
        <v>31.5</v>
      </c>
      <c r="I275" s="843">
        <v>29.9</v>
      </c>
      <c r="J275" s="843">
        <v>30.1</v>
      </c>
      <c r="K275" s="843">
        <v>29.2</v>
      </c>
      <c r="L275" s="843">
        <v>29.6</v>
      </c>
      <c r="M275" s="843">
        <v>29.6</v>
      </c>
      <c r="N275" s="843">
        <v>30.3</v>
      </c>
      <c r="O275" s="843">
        <v>29.7</v>
      </c>
      <c r="P275" s="905" t="s">
        <v>605</v>
      </c>
      <c r="Q275" s="843">
        <v>30</v>
      </c>
      <c r="R275" s="44">
        <v>28.4</v>
      </c>
    </row>
    <row r="276" spans="1:18" ht="15" customHeight="1" thickBot="1">
      <c r="A276" s="93">
        <f t="shared" si="27"/>
        <v>28</v>
      </c>
      <c r="C276" s="1"/>
      <c r="E276" s="867" t="s">
        <v>468</v>
      </c>
      <c r="F276" s="520"/>
      <c r="G276" s="863"/>
      <c r="H276" s="863"/>
      <c r="I276" s="863"/>
      <c r="J276" s="863"/>
      <c r="K276" s="863"/>
      <c r="L276" s="863"/>
      <c r="M276" s="863"/>
      <c r="N276" s="863"/>
      <c r="O276" s="863"/>
      <c r="P276" s="863"/>
      <c r="Q276" s="863"/>
      <c r="R276" s="44"/>
    </row>
    <row r="277" spans="1:18" ht="15" customHeight="1" thickBot="1">
      <c r="A277" s="93">
        <f t="shared" si="27"/>
        <v>27</v>
      </c>
      <c r="C277" s="1"/>
      <c r="E277" s="864" t="s">
        <v>466</v>
      </c>
      <c r="F277" s="843"/>
      <c r="G277" s="843">
        <v>16.8</v>
      </c>
      <c r="H277" s="843">
        <v>19.6</v>
      </c>
      <c r="I277" s="843">
        <v>20.3</v>
      </c>
      <c r="J277" s="843">
        <v>20.9</v>
      </c>
      <c r="K277" s="843">
        <v>20.5</v>
      </c>
      <c r="L277" s="843">
        <v>20.7</v>
      </c>
      <c r="M277" s="843">
        <v>20.5</v>
      </c>
      <c r="N277" s="843">
        <v>20.3</v>
      </c>
      <c r="O277" s="843">
        <v>20.5</v>
      </c>
      <c r="P277" s="905" t="s">
        <v>606</v>
      </c>
      <c r="Q277" s="843">
        <v>20.5</v>
      </c>
      <c r="R277" s="44">
        <v>20.4</v>
      </c>
    </row>
    <row r="278" spans="1:18" ht="15" customHeight="1" thickBot="1">
      <c r="A278" s="93">
        <f t="shared" si="27"/>
        <v>26</v>
      </c>
      <c r="C278" s="1"/>
      <c r="E278" s="864" t="s">
        <v>467</v>
      </c>
      <c r="F278" s="843"/>
      <c r="G278" s="843">
        <v>24.3</v>
      </c>
      <c r="H278" s="843">
        <v>26.5</v>
      </c>
      <c r="I278" s="843">
        <v>23</v>
      </c>
      <c r="J278" s="843">
        <v>23</v>
      </c>
      <c r="K278" s="843">
        <v>22.7</v>
      </c>
      <c r="L278" s="843">
        <v>22.8</v>
      </c>
      <c r="M278" s="843">
        <v>22.1</v>
      </c>
      <c r="N278" s="843">
        <v>21.5</v>
      </c>
      <c r="O278" s="899" t="s">
        <v>469</v>
      </c>
      <c r="P278" s="843">
        <v>22.1</v>
      </c>
      <c r="Q278" s="843">
        <v>22.9</v>
      </c>
      <c r="R278" s="44">
        <v>22.5</v>
      </c>
    </row>
    <row r="279" spans="1:18" ht="15" customHeight="1" thickBot="1">
      <c r="A279" s="93">
        <f t="shared" si="27"/>
        <v>25</v>
      </c>
      <c r="C279" s="1"/>
      <c r="E279" s="862" t="s">
        <v>602</v>
      </c>
      <c r="F279" s="520"/>
      <c r="G279" s="863"/>
      <c r="H279" s="863"/>
      <c r="I279" s="863"/>
      <c r="J279" s="863"/>
      <c r="K279" s="863"/>
      <c r="L279" s="863"/>
      <c r="M279" s="863"/>
      <c r="N279" s="863"/>
      <c r="O279" s="863"/>
      <c r="P279" s="863"/>
      <c r="Q279" s="863"/>
      <c r="R279" s="44"/>
    </row>
    <row r="280" spans="1:18" ht="15" customHeight="1" thickBot="1">
      <c r="A280" s="93">
        <f t="shared" si="27"/>
        <v>24</v>
      </c>
      <c r="C280" s="1"/>
      <c r="E280" s="864" t="s">
        <v>470</v>
      </c>
      <c r="F280" s="843"/>
      <c r="G280" s="843">
        <v>20</v>
      </c>
      <c r="H280" s="843">
        <v>27.5</v>
      </c>
      <c r="I280" s="843">
        <v>27.5</v>
      </c>
      <c r="J280" s="843">
        <v>27.5</v>
      </c>
      <c r="K280" s="843">
        <v>27.5</v>
      </c>
      <c r="L280" s="843">
        <v>27.5</v>
      </c>
      <c r="M280" s="843">
        <v>27.5</v>
      </c>
      <c r="N280" s="843">
        <v>27.5</v>
      </c>
      <c r="O280" s="843">
        <v>27.5</v>
      </c>
      <c r="P280" s="843">
        <v>27.5</v>
      </c>
      <c r="Q280" s="843">
        <v>27.5</v>
      </c>
      <c r="R280" s="44">
        <v>27.5</v>
      </c>
    </row>
    <row r="281" spans="1:18" ht="15" customHeight="1" thickBot="1">
      <c r="A281" s="93">
        <f t="shared" si="27"/>
        <v>23</v>
      </c>
      <c r="C281" s="1"/>
      <c r="E281" s="868" t="s">
        <v>471</v>
      </c>
      <c r="F281" s="869"/>
      <c r="G281" s="902" t="s">
        <v>472</v>
      </c>
      <c r="H281" s="869">
        <v>19.5</v>
      </c>
      <c r="I281" s="869">
        <v>20</v>
      </c>
      <c r="J281" s="869">
        <v>20.2</v>
      </c>
      <c r="K281" s="869">
        <v>20.2</v>
      </c>
      <c r="L281" s="869">
        <v>20.4</v>
      </c>
      <c r="M281" s="869">
        <v>20.5</v>
      </c>
      <c r="N281" s="869">
        <v>20.6</v>
      </c>
      <c r="O281" s="869">
        <v>20.7</v>
      </c>
      <c r="P281" s="869">
        <v>20.7</v>
      </c>
      <c r="Q281" s="869">
        <v>20.7</v>
      </c>
      <c r="R281" s="118">
        <v>20.7</v>
      </c>
    </row>
    <row r="282" spans="1:16" ht="15" customHeight="1" thickBot="1">
      <c r="A282" s="93">
        <f t="shared" si="27"/>
        <v>22</v>
      </c>
      <c r="C282" s="1"/>
      <c r="E282" s="816" t="s">
        <v>609</v>
      </c>
      <c r="F282" s="559"/>
      <c r="G282" s="559"/>
      <c r="H282" s="559"/>
      <c r="I282" s="559"/>
      <c r="J282" s="559"/>
      <c r="K282" s="559"/>
      <c r="L282" s="559"/>
      <c r="M282" s="559"/>
      <c r="N282" s="559"/>
      <c r="O282" s="492"/>
      <c r="P282" s="492"/>
    </row>
    <row r="283" spans="1:16" ht="15" customHeight="1" thickBot="1">
      <c r="A283" s="93">
        <f t="shared" si="27"/>
        <v>21</v>
      </c>
      <c r="C283" s="1"/>
      <c r="E283" s="219" t="s">
        <v>789</v>
      </c>
      <c r="F283" s="548"/>
      <c r="G283" s="548"/>
      <c r="H283" s="548"/>
      <c r="I283" s="548"/>
      <c r="J283" s="548"/>
      <c r="K283" s="548"/>
      <c r="L283" s="548"/>
      <c r="M283" s="548"/>
      <c r="N283" s="548"/>
      <c r="O283" s="490"/>
      <c r="P283" s="46"/>
    </row>
    <row r="284" spans="1:16" ht="15" customHeight="1" thickBot="1">
      <c r="A284" s="93">
        <f t="shared" si="27"/>
        <v>20</v>
      </c>
      <c r="C284" s="1"/>
      <c r="E284" s="816" t="s">
        <v>473</v>
      </c>
      <c r="F284" s="559"/>
      <c r="G284" s="559"/>
      <c r="H284" s="559"/>
      <c r="I284" s="559"/>
      <c r="J284" s="559"/>
      <c r="K284" s="559"/>
      <c r="L284" s="559"/>
      <c r="M284" s="559"/>
      <c r="N284" s="219"/>
      <c r="O284" s="46"/>
      <c r="P284" s="46"/>
    </row>
    <row r="285" spans="1:16" ht="15" customHeight="1" thickBot="1">
      <c r="A285" s="93">
        <f t="shared" si="27"/>
        <v>19</v>
      </c>
      <c r="C285" s="1"/>
      <c r="E285" s="870" t="s">
        <v>610</v>
      </c>
      <c r="F285" s="547"/>
      <c r="G285" s="547"/>
      <c r="H285" s="547"/>
      <c r="I285" s="547"/>
      <c r="J285" s="547"/>
      <c r="K285" s="547"/>
      <c r="L285" s="547"/>
      <c r="M285" s="547"/>
      <c r="N285" s="547"/>
      <c r="O285" s="490"/>
      <c r="P285" s="46"/>
    </row>
    <row r="286" spans="1:16" ht="15" customHeight="1" thickBot="1">
      <c r="A286" s="93">
        <f t="shared" si="27"/>
        <v>18</v>
      </c>
      <c r="C286" s="1"/>
      <c r="E286" s="870" t="s">
        <v>611</v>
      </c>
      <c r="F286" s="547"/>
      <c r="G286" s="547"/>
      <c r="H286" s="547"/>
      <c r="I286" s="547"/>
      <c r="J286" s="547"/>
      <c r="K286" s="547"/>
      <c r="L286" s="547"/>
      <c r="M286" s="547"/>
      <c r="N286" s="547"/>
      <c r="O286" s="490"/>
      <c r="P286" s="46"/>
    </row>
    <row r="287" spans="1:16" ht="15" customHeight="1" thickBot="1">
      <c r="A287" s="93">
        <f t="shared" si="27"/>
        <v>17</v>
      </c>
      <c r="C287" s="1"/>
      <c r="E287" s="870" t="s">
        <v>612</v>
      </c>
      <c r="F287" s="547"/>
      <c r="G287" s="547"/>
      <c r="H287" s="547"/>
      <c r="I287" s="547"/>
      <c r="J287" s="547"/>
      <c r="K287" s="547"/>
      <c r="L287" s="547"/>
      <c r="M287" s="547"/>
      <c r="N287" s="547"/>
      <c r="O287" s="490"/>
      <c r="P287" s="46"/>
    </row>
    <row r="288" spans="1:16" ht="15" customHeight="1" thickBot="1">
      <c r="A288" s="93">
        <f t="shared" si="27"/>
        <v>16</v>
      </c>
      <c r="C288" s="1"/>
      <c r="E288" s="906" t="s">
        <v>613</v>
      </c>
      <c r="F288" s="547"/>
      <c r="G288" s="547"/>
      <c r="H288" s="547"/>
      <c r="I288" s="547"/>
      <c r="J288" s="547"/>
      <c r="K288" s="547"/>
      <c r="L288" s="547"/>
      <c r="M288" s="547"/>
      <c r="N288" s="547"/>
      <c r="O288" s="490"/>
      <c r="P288" s="46"/>
    </row>
    <row r="289" spans="1:16" ht="15" customHeight="1" thickBot="1">
      <c r="A289" s="93">
        <f t="shared" si="27"/>
        <v>15</v>
      </c>
      <c r="C289" s="1"/>
      <c r="E289" s="906" t="s">
        <v>614</v>
      </c>
      <c r="F289" s="547"/>
      <c r="G289" s="547"/>
      <c r="H289" s="547"/>
      <c r="I289" s="547"/>
      <c r="J289" s="547"/>
      <c r="K289" s="547"/>
      <c r="L289" s="547"/>
      <c r="M289" s="547"/>
      <c r="N289" s="547"/>
      <c r="O289" s="490"/>
      <c r="P289" s="46"/>
    </row>
    <row r="290" spans="1:16" ht="15" customHeight="1" thickBot="1">
      <c r="A290" s="93">
        <f t="shared" si="27"/>
        <v>14</v>
      </c>
      <c r="C290" s="1"/>
      <c r="E290" s="906" t="s">
        <v>615</v>
      </c>
      <c r="F290" s="547"/>
      <c r="G290" s="547"/>
      <c r="H290" s="547"/>
      <c r="I290" s="547"/>
      <c r="J290" s="547"/>
      <c r="K290" s="547"/>
      <c r="L290" s="547"/>
      <c r="M290" s="547"/>
      <c r="N290" s="547"/>
      <c r="O290" s="490"/>
      <c r="P290" s="46"/>
    </row>
    <row r="291" spans="1:16" ht="15" customHeight="1" thickBot="1">
      <c r="A291" s="93">
        <f t="shared" si="27"/>
        <v>13</v>
      </c>
      <c r="C291" s="1"/>
      <c r="E291" s="906" t="s">
        <v>616</v>
      </c>
      <c r="F291" s="547"/>
      <c r="G291" s="547"/>
      <c r="H291" s="547"/>
      <c r="I291" s="547"/>
      <c r="J291" s="547"/>
      <c r="K291" s="547"/>
      <c r="L291" s="547"/>
      <c r="M291" s="547"/>
      <c r="N291" s="547"/>
      <c r="O291" s="490"/>
      <c r="P291" s="46"/>
    </row>
    <row r="292" spans="1:16" ht="15" customHeight="1" thickBot="1">
      <c r="A292" s="93">
        <f t="shared" si="27"/>
        <v>12</v>
      </c>
      <c r="C292" s="1"/>
      <c r="E292" s="906" t="s">
        <v>617</v>
      </c>
      <c r="F292" s="547"/>
      <c r="G292" s="547"/>
      <c r="H292" s="547"/>
      <c r="I292" s="547"/>
      <c r="J292" s="547"/>
      <c r="K292" s="547"/>
      <c r="L292" s="547"/>
      <c r="M292" s="547"/>
      <c r="N292" s="547"/>
      <c r="O292" s="490"/>
      <c r="P292" s="46"/>
    </row>
    <row r="293" spans="1:16" ht="15" customHeight="1" thickBot="1">
      <c r="A293" s="93">
        <f t="shared" si="27"/>
        <v>11</v>
      </c>
      <c r="C293" s="1"/>
      <c r="E293" s="906" t="s">
        <v>618</v>
      </c>
      <c r="F293" s="547"/>
      <c r="G293" s="547"/>
      <c r="H293" s="547"/>
      <c r="I293" s="547"/>
      <c r="J293" s="547"/>
      <c r="K293" s="547"/>
      <c r="L293" s="547"/>
      <c r="M293" s="547"/>
      <c r="N293" s="547"/>
      <c r="O293" s="490"/>
      <c r="P293" s="46"/>
    </row>
    <row r="294" spans="1:16" ht="15" customHeight="1" thickBot="1">
      <c r="A294" s="93">
        <f t="shared" si="27"/>
        <v>10</v>
      </c>
      <c r="C294" s="1"/>
      <c r="E294" s="906" t="s">
        <v>619</v>
      </c>
      <c r="F294" s="547"/>
      <c r="G294" s="547"/>
      <c r="H294" s="547"/>
      <c r="I294" s="547"/>
      <c r="J294" s="547"/>
      <c r="K294" s="547"/>
      <c r="L294" s="547"/>
      <c r="M294" s="547"/>
      <c r="N294" s="547"/>
      <c r="O294" s="490"/>
      <c r="P294" s="46"/>
    </row>
    <row r="295" spans="1:16" ht="15" customHeight="1" thickBot="1">
      <c r="A295" s="93">
        <f t="shared" si="27"/>
        <v>9</v>
      </c>
      <c r="C295" s="1"/>
      <c r="E295" s="906" t="s">
        <v>620</v>
      </c>
      <c r="F295" s="547"/>
      <c r="G295" s="547"/>
      <c r="H295" s="547"/>
      <c r="I295" s="547"/>
      <c r="J295" s="547"/>
      <c r="K295" s="547"/>
      <c r="L295" s="547"/>
      <c r="M295" s="547"/>
      <c r="N295" s="547"/>
      <c r="O295" s="490"/>
      <c r="P295" s="46"/>
    </row>
    <row r="296" spans="1:16" ht="15" customHeight="1" thickBot="1">
      <c r="A296" s="93">
        <f t="shared" si="27"/>
        <v>8</v>
      </c>
      <c r="C296" s="1"/>
      <c r="E296" s="906" t="s">
        <v>621</v>
      </c>
      <c r="F296" s="547"/>
      <c r="G296" s="547"/>
      <c r="H296" s="547"/>
      <c r="I296" s="547"/>
      <c r="J296" s="547"/>
      <c r="K296" s="547"/>
      <c r="L296" s="547"/>
      <c r="M296" s="547"/>
      <c r="N296" s="547"/>
      <c r="O296" s="490"/>
      <c r="P296" s="46"/>
    </row>
    <row r="297" spans="1:16" ht="15" customHeight="1" thickBot="1">
      <c r="A297" s="93">
        <f t="shared" si="27"/>
        <v>7</v>
      </c>
      <c r="C297" s="1"/>
      <c r="E297" s="906" t="s">
        <v>622</v>
      </c>
      <c r="F297" s="547"/>
      <c r="G297" s="547"/>
      <c r="H297" s="547"/>
      <c r="I297" s="547"/>
      <c r="J297" s="547"/>
      <c r="K297" s="547"/>
      <c r="L297" s="547"/>
      <c r="M297" s="547"/>
      <c r="N297" s="547"/>
      <c r="O297" s="490"/>
      <c r="P297" s="46"/>
    </row>
    <row r="298" spans="1:16" ht="15" customHeight="1" thickBot="1">
      <c r="A298" s="93">
        <f t="shared" si="27"/>
        <v>6</v>
      </c>
      <c r="C298" s="1"/>
      <c r="E298" s="906" t="s">
        <v>623</v>
      </c>
      <c r="F298" s="547"/>
      <c r="G298" s="547"/>
      <c r="H298" s="547"/>
      <c r="I298" s="547"/>
      <c r="J298" s="547"/>
      <c r="K298" s="547"/>
      <c r="L298" s="547"/>
      <c r="M298" s="547"/>
      <c r="N298" s="547"/>
      <c r="O298" s="490"/>
      <c r="P298" s="46"/>
    </row>
    <row r="299" spans="1:16" ht="15" customHeight="1" thickBot="1">
      <c r="A299" s="93">
        <f t="shared" si="27"/>
        <v>5</v>
      </c>
      <c r="E299" s="870" t="s">
        <v>757</v>
      </c>
      <c r="F299" s="549"/>
      <c r="G299" s="549"/>
      <c r="H299" s="549"/>
      <c r="I299" s="549"/>
      <c r="J299" s="549"/>
      <c r="K299" s="549"/>
      <c r="L299" s="549"/>
      <c r="M299" s="549"/>
      <c r="N299" s="490"/>
      <c r="O299" s="490"/>
      <c r="P299" s="46"/>
    </row>
    <row r="300" spans="1:17" ht="15" customHeight="1" thickBot="1">
      <c r="A300" s="93">
        <f t="shared" si="27"/>
        <v>4</v>
      </c>
      <c r="E300" s="871"/>
      <c r="F300" s="859"/>
      <c r="G300" s="872">
        <v>1980</v>
      </c>
      <c r="H300" s="872">
        <v>1985</v>
      </c>
      <c r="I300" s="872">
        <v>1990</v>
      </c>
      <c r="J300" s="872">
        <v>1991</v>
      </c>
      <c r="K300" s="872">
        <v>1992</v>
      </c>
      <c r="L300" s="872">
        <v>1993</v>
      </c>
      <c r="M300" s="872">
        <v>1994</v>
      </c>
      <c r="N300" s="872">
        <v>1995</v>
      </c>
      <c r="O300" s="872">
        <v>1996</v>
      </c>
      <c r="P300" s="873">
        <v>1997</v>
      </c>
      <c r="Q300" s="491">
        <v>1998</v>
      </c>
    </row>
    <row r="301" spans="1:17" ht="15" customHeight="1" thickBot="1">
      <c r="A301" s="93">
        <f t="shared" si="27"/>
        <v>3</v>
      </c>
      <c r="E301" s="874" t="s">
        <v>790</v>
      </c>
      <c r="F301" s="875"/>
      <c r="G301" s="876">
        <v>5.8</v>
      </c>
      <c r="H301" s="876">
        <v>6.1</v>
      </c>
      <c r="I301" s="876">
        <v>6.2</v>
      </c>
      <c r="J301" s="876">
        <v>6.5</v>
      </c>
      <c r="K301" s="876">
        <v>6.5</v>
      </c>
      <c r="L301" s="876">
        <v>6.7</v>
      </c>
      <c r="M301" s="876">
        <v>6.8</v>
      </c>
      <c r="N301" s="876">
        <v>6.8</v>
      </c>
      <c r="O301" s="876">
        <v>6.8</v>
      </c>
      <c r="P301" s="877">
        <v>7</v>
      </c>
      <c r="Q301" s="490">
        <v>7</v>
      </c>
    </row>
    <row r="302" spans="1:17" ht="15" customHeight="1" thickBot="1">
      <c r="A302" s="93">
        <f t="shared" si="27"/>
        <v>2</v>
      </c>
      <c r="E302" s="878" t="s">
        <v>791</v>
      </c>
      <c r="F302" s="879"/>
      <c r="G302" s="879">
        <v>5.3</v>
      </c>
      <c r="H302" s="879">
        <v>5.6</v>
      </c>
      <c r="I302" s="879">
        <v>5.8</v>
      </c>
      <c r="J302" s="879">
        <v>5.7</v>
      </c>
      <c r="K302" s="879">
        <v>5.8</v>
      </c>
      <c r="L302" s="879">
        <v>5.8</v>
      </c>
      <c r="M302" s="879">
        <v>5.8</v>
      </c>
      <c r="N302" s="879">
        <v>5.8</v>
      </c>
      <c r="O302" s="879">
        <v>5.9</v>
      </c>
      <c r="P302" s="880">
        <v>6.1</v>
      </c>
      <c r="Q302" s="490">
        <v>6.1</v>
      </c>
    </row>
    <row r="303" ht="15" customHeight="1" thickBot="1">
      <c r="A303" s="93">
        <f t="shared" si="27"/>
        <v>1</v>
      </c>
    </row>
    <row r="304" spans="1:4" s="139" customFormat="1" ht="21.75" customHeight="1" thickBot="1">
      <c r="A304" s="93">
        <f t="shared" si="27"/>
        <v>100</v>
      </c>
      <c r="C304" s="330"/>
      <c r="D304" s="331" t="s">
        <v>474</v>
      </c>
    </row>
    <row r="305" spans="1:4" s="718" customFormat="1" ht="15" customHeight="1" thickBot="1">
      <c r="A305" s="93">
        <f t="shared" si="27"/>
        <v>99</v>
      </c>
      <c r="C305" s="833"/>
      <c r="D305" s="834"/>
    </row>
    <row r="306" spans="1:9" s="718" customFormat="1" ht="15" customHeight="1" thickBot="1">
      <c r="A306" s="93">
        <f t="shared" si="27"/>
        <v>98</v>
      </c>
      <c r="C306" s="925"/>
      <c r="D306" s="834"/>
      <c r="E306" s="858" t="s">
        <v>758</v>
      </c>
      <c r="F306" s="572" t="s">
        <v>661</v>
      </c>
      <c r="I306" s="485" t="s">
        <v>475</v>
      </c>
    </row>
    <row r="307" spans="1:35" ht="15" customHeight="1" thickBot="1">
      <c r="A307" s="93">
        <f t="shared" si="27"/>
        <v>97</v>
      </c>
      <c r="C307" s="1"/>
      <c r="E307" s="497"/>
      <c r="F307" s="485"/>
      <c r="G307" s="485"/>
      <c r="H307" s="485"/>
      <c r="I307" s="571"/>
      <c r="J307" s="485"/>
      <c r="K307" s="485"/>
      <c r="L307" s="485"/>
      <c r="N307" s="485"/>
      <c r="O307" s="485"/>
      <c r="P307" s="485"/>
      <c r="Q307" s="485"/>
      <c r="R307" s="485"/>
      <c r="S307" s="485"/>
      <c r="T307" s="485"/>
      <c r="U307" s="485"/>
      <c r="V307" s="485"/>
      <c r="W307" s="485"/>
      <c r="X307" s="485"/>
      <c r="Y307" s="485"/>
      <c r="Z307" s="485"/>
      <c r="AA307" s="485"/>
      <c r="AB307" s="485"/>
      <c r="AC307" s="485"/>
      <c r="AD307" s="485"/>
      <c r="AE307" s="485"/>
      <c r="AF307" s="485"/>
      <c r="AG307" s="485"/>
      <c r="AH307" s="485"/>
      <c r="AI307" s="485"/>
    </row>
    <row r="308" spans="1:35" ht="15" customHeight="1" thickBot="1">
      <c r="A308" s="93">
        <f t="shared" si="27"/>
        <v>96</v>
      </c>
      <c r="C308" s="1"/>
      <c r="E308" s="498" t="s">
        <v>476</v>
      </c>
      <c r="F308" s="499"/>
      <c r="G308" s="499"/>
      <c r="H308" s="499"/>
      <c r="I308" s="499"/>
      <c r="J308" s="499"/>
      <c r="K308" s="499"/>
      <c r="L308" s="499"/>
      <c r="M308" s="499"/>
      <c r="N308" s="499"/>
      <c r="O308" s="499"/>
      <c r="P308" s="499"/>
      <c r="Q308" s="499"/>
      <c r="R308" s="499"/>
      <c r="S308" s="499"/>
      <c r="T308" s="499"/>
      <c r="U308" s="499"/>
      <c r="V308" s="499"/>
      <c r="W308" s="499"/>
      <c r="X308" s="499"/>
      <c r="Y308" s="499"/>
      <c r="Z308" s="499"/>
      <c r="AA308" s="499"/>
      <c r="AB308" s="499"/>
      <c r="AC308" s="499"/>
      <c r="AD308" s="499"/>
      <c r="AE308" s="499"/>
      <c r="AF308" s="499"/>
      <c r="AG308" s="499"/>
      <c r="AH308" s="499"/>
      <c r="AI308" s="499"/>
    </row>
    <row r="309" spans="1:21" ht="15" customHeight="1" thickBot="1">
      <c r="A309" s="93">
        <f t="shared" si="27"/>
        <v>95</v>
      </c>
      <c r="C309" s="1"/>
      <c r="E309" s="500"/>
      <c r="F309" s="500">
        <v>1960</v>
      </c>
      <c r="G309" s="500">
        <v>1965</v>
      </c>
      <c r="H309" s="500">
        <v>1970</v>
      </c>
      <c r="I309" s="500">
        <v>1975</v>
      </c>
      <c r="J309" s="500">
        <v>1980</v>
      </c>
      <c r="K309" s="500">
        <v>1985</v>
      </c>
      <c r="L309" s="500">
        <v>1990</v>
      </c>
      <c r="M309" s="500">
        <v>1991</v>
      </c>
      <c r="N309" s="500">
        <v>1992</v>
      </c>
      <c r="O309" s="500">
        <v>1993</v>
      </c>
      <c r="P309" s="500">
        <v>1994</v>
      </c>
      <c r="Q309" s="500">
        <v>1995</v>
      </c>
      <c r="R309" s="500">
        <v>1996</v>
      </c>
      <c r="S309" s="500">
        <v>1997</v>
      </c>
      <c r="T309" s="500" t="s">
        <v>477</v>
      </c>
      <c r="U309" s="500"/>
    </row>
    <row r="310" spans="1:21" ht="15" customHeight="1" thickBot="1">
      <c r="A310" s="93">
        <f t="shared" si="27"/>
        <v>94</v>
      </c>
      <c r="C310" s="1"/>
      <c r="E310" s="501" t="s">
        <v>628</v>
      </c>
      <c r="F310" s="505"/>
      <c r="G310" s="505"/>
      <c r="H310" s="505"/>
      <c r="I310" s="505"/>
      <c r="J310" s="505"/>
      <c r="K310" s="505"/>
      <c r="L310" s="505"/>
      <c r="M310" s="505"/>
      <c r="N310" s="505"/>
      <c r="O310" s="505"/>
      <c r="P310" s="505"/>
      <c r="Q310" s="505"/>
      <c r="R310" s="505"/>
      <c r="S310" s="505"/>
      <c r="T310" s="505"/>
      <c r="U310" s="505"/>
    </row>
    <row r="311" spans="1:21" ht="15" customHeight="1" thickBot="1">
      <c r="A311" s="93">
        <f t="shared" si="27"/>
        <v>93</v>
      </c>
      <c r="C311" s="1"/>
      <c r="E311" s="502" t="s">
        <v>625</v>
      </c>
      <c r="F311" s="505"/>
      <c r="G311" s="505"/>
      <c r="H311" s="505"/>
      <c r="I311" s="505"/>
      <c r="J311" s="505"/>
      <c r="K311" s="505"/>
      <c r="L311" s="505"/>
      <c r="M311" s="505"/>
      <c r="N311" s="505"/>
      <c r="O311" s="505"/>
      <c r="P311" s="505"/>
      <c r="Q311" s="505"/>
      <c r="R311" s="505"/>
      <c r="S311" s="505"/>
      <c r="T311" s="505"/>
      <c r="U311" s="505"/>
    </row>
    <row r="312" spans="1:21" ht="15" customHeight="1" thickBot="1">
      <c r="A312" s="93">
        <f t="shared" si="27"/>
        <v>92</v>
      </c>
      <c r="C312" s="1"/>
      <c r="E312" s="502" t="s">
        <v>626</v>
      </c>
      <c r="F312" s="909">
        <v>8633</v>
      </c>
      <c r="G312" s="909">
        <v>10118</v>
      </c>
      <c r="H312" s="909">
        <v>10185</v>
      </c>
      <c r="I312" s="909">
        <v>7746</v>
      </c>
      <c r="J312" s="909">
        <v>5272</v>
      </c>
      <c r="K312" s="909">
        <v>5047</v>
      </c>
      <c r="L312" s="909">
        <v>4932</v>
      </c>
      <c r="M312" s="909">
        <v>4671</v>
      </c>
      <c r="N312" s="909">
        <v>4564</v>
      </c>
      <c r="O312" s="909">
        <v>4558</v>
      </c>
      <c r="P312" s="909">
        <v>4444</v>
      </c>
      <c r="Q312" s="909">
        <v>4382</v>
      </c>
      <c r="R312" s="909">
        <v>4183</v>
      </c>
      <c r="S312" s="909">
        <v>4146</v>
      </c>
      <c r="T312" s="909">
        <v>4123</v>
      </c>
      <c r="U312" s="907"/>
    </row>
    <row r="313" spans="1:21" ht="15" customHeight="1" thickBot="1">
      <c r="A313" s="93">
        <f t="shared" si="27"/>
        <v>91</v>
      </c>
      <c r="C313" s="1"/>
      <c r="E313" s="502" t="s">
        <v>627</v>
      </c>
      <c r="F313" s="909">
        <v>9199</v>
      </c>
      <c r="G313" s="909">
        <v>10292</v>
      </c>
      <c r="H313" s="909">
        <v>10986</v>
      </c>
      <c r="I313" s="909">
        <v>8465</v>
      </c>
      <c r="J313" s="909">
        <v>8866</v>
      </c>
      <c r="K313" s="909">
        <v>5103</v>
      </c>
      <c r="L313" s="909">
        <v>4546</v>
      </c>
      <c r="M313" s="909">
        <v>4609</v>
      </c>
      <c r="N313" s="909">
        <v>4258</v>
      </c>
      <c r="O313" s="909">
        <v>4099</v>
      </c>
      <c r="P313" s="909">
        <v>4145</v>
      </c>
      <c r="Q313" s="909">
        <v>4173</v>
      </c>
      <c r="R313" s="909">
        <v>4108</v>
      </c>
      <c r="S313" s="909">
        <v>4168</v>
      </c>
      <c r="T313" s="909">
        <v>4278</v>
      </c>
      <c r="U313" s="907"/>
    </row>
    <row r="314" spans="1:21" s="485" customFormat="1" ht="15" customHeight="1" thickBot="1">
      <c r="A314" s="93">
        <f t="shared" si="27"/>
        <v>90</v>
      </c>
      <c r="C314" s="926"/>
      <c r="D314" s="751"/>
      <c r="E314" s="501" t="s">
        <v>629</v>
      </c>
      <c r="F314" s="910" t="s">
        <v>478</v>
      </c>
      <c r="G314" s="911"/>
      <c r="H314" s="911"/>
      <c r="I314" s="911"/>
      <c r="J314" s="911"/>
      <c r="K314" s="911"/>
      <c r="L314" s="911"/>
      <c r="M314" s="911"/>
      <c r="N314" s="911"/>
      <c r="O314" s="911"/>
      <c r="P314" s="911"/>
      <c r="Q314" s="911"/>
      <c r="R314" s="911"/>
      <c r="S314" s="911"/>
      <c r="T314" s="911"/>
      <c r="U314" s="502"/>
    </row>
    <row r="315" spans="1:21" s="485" customFormat="1" ht="15" customHeight="1" thickBot="1">
      <c r="A315" s="93">
        <f t="shared" si="27"/>
        <v>89</v>
      </c>
      <c r="C315" s="926"/>
      <c r="D315" s="751"/>
      <c r="E315" s="502" t="s">
        <v>458</v>
      </c>
      <c r="F315" s="912">
        <v>4495</v>
      </c>
      <c r="G315" s="912">
        <v>4455</v>
      </c>
      <c r="H315" s="912">
        <v>4841</v>
      </c>
      <c r="I315" s="912">
        <v>4743</v>
      </c>
      <c r="J315" s="912">
        <v>4348</v>
      </c>
      <c r="K315" s="912">
        <v>4267</v>
      </c>
      <c r="L315" s="912">
        <v>3812</v>
      </c>
      <c r="M315" s="911">
        <v>3654</v>
      </c>
      <c r="N315" s="911">
        <v>3703</v>
      </c>
      <c r="O315" s="911">
        <v>3785</v>
      </c>
      <c r="P315" s="911">
        <v>3771</v>
      </c>
      <c r="Q315" s="911">
        <v>3721</v>
      </c>
      <c r="R315" s="911">
        <v>3702</v>
      </c>
      <c r="S315" s="912">
        <v>3657</v>
      </c>
      <c r="T315" s="911">
        <v>3672</v>
      </c>
      <c r="U315" s="503"/>
    </row>
    <row r="316" spans="1:21" s="485" customFormat="1" ht="15" customHeight="1" thickBot="1">
      <c r="A316" s="93">
        <f t="shared" si="27"/>
        <v>88</v>
      </c>
      <c r="C316" s="926"/>
      <c r="D316" s="751"/>
      <c r="E316" s="502" t="s">
        <v>479</v>
      </c>
      <c r="F316" s="912" t="s">
        <v>630</v>
      </c>
      <c r="G316" s="912" t="s">
        <v>630</v>
      </c>
      <c r="H316" s="912">
        <v>6810</v>
      </c>
      <c r="I316" s="912">
        <v>6571</v>
      </c>
      <c r="J316" s="912">
        <v>5709</v>
      </c>
      <c r="K316" s="912">
        <v>4971</v>
      </c>
      <c r="L316" s="912">
        <v>4451</v>
      </c>
      <c r="M316" s="911">
        <v>4277</v>
      </c>
      <c r="N316" s="911">
        <v>4256</v>
      </c>
      <c r="O316" s="911">
        <v>4275</v>
      </c>
      <c r="P316" s="911">
        <v>4345</v>
      </c>
      <c r="Q316" s="911">
        <v>4539</v>
      </c>
      <c r="R316" s="911">
        <v>4560</v>
      </c>
      <c r="S316" s="912">
        <v>4563</v>
      </c>
      <c r="T316" s="911">
        <v>4591</v>
      </c>
      <c r="U316" s="503"/>
    </row>
    <row r="317" spans="1:20" s="572" customFormat="1" ht="15" customHeight="1" thickBot="1">
      <c r="A317" s="93">
        <f t="shared" si="27"/>
        <v>87</v>
      </c>
      <c r="C317" s="924"/>
      <c r="D317" s="574"/>
      <c r="E317" s="502" t="s">
        <v>480</v>
      </c>
      <c r="F317" s="912" t="s">
        <v>631</v>
      </c>
      <c r="G317" s="912" t="s">
        <v>631</v>
      </c>
      <c r="H317" s="912">
        <v>2500</v>
      </c>
      <c r="I317" s="912">
        <v>2345</v>
      </c>
      <c r="J317" s="912">
        <v>2125</v>
      </c>
      <c r="K317" s="912">
        <v>1896</v>
      </c>
      <c r="L317" s="912">
        <v>1990</v>
      </c>
      <c r="M317" s="911">
        <v>1917</v>
      </c>
      <c r="N317" s="911">
        <v>1990</v>
      </c>
      <c r="O317" s="911">
        <v>2063</v>
      </c>
      <c r="P317" s="911">
        <v>2135</v>
      </c>
      <c r="Q317" s="911">
        <v>2227</v>
      </c>
      <c r="R317" s="911">
        <v>2250</v>
      </c>
      <c r="S317" s="912">
        <v>2295</v>
      </c>
      <c r="T317" s="911">
        <v>2330</v>
      </c>
    </row>
    <row r="318" spans="1:20" s="572" customFormat="1" ht="15" customHeight="1" thickBot="1">
      <c r="A318" s="93">
        <f t="shared" si="27"/>
        <v>86</v>
      </c>
      <c r="C318" s="924"/>
      <c r="D318" s="574"/>
      <c r="E318" s="502" t="s">
        <v>481</v>
      </c>
      <c r="F318" s="913" t="s">
        <v>630</v>
      </c>
      <c r="G318" s="913" t="s">
        <v>630</v>
      </c>
      <c r="H318" s="913" t="s">
        <v>630</v>
      </c>
      <c r="I318" s="913" t="s">
        <v>630</v>
      </c>
      <c r="J318" s="914">
        <v>2742</v>
      </c>
      <c r="K318" s="914">
        <v>3396</v>
      </c>
      <c r="L318" s="913">
        <v>3723</v>
      </c>
      <c r="M318" s="914">
        <v>3767</v>
      </c>
      <c r="N318" s="914">
        <v>4038</v>
      </c>
      <c r="O318" s="914">
        <v>3944</v>
      </c>
      <c r="P318" s="914">
        <v>4162</v>
      </c>
      <c r="Q318" s="914">
        <v>4155</v>
      </c>
      <c r="R318" s="914">
        <v>4196</v>
      </c>
      <c r="S318" s="913">
        <v>4228</v>
      </c>
      <c r="T318" s="914">
        <v>3729</v>
      </c>
    </row>
    <row r="319" spans="1:20" s="572" customFormat="1" ht="15" customHeight="1" thickBot="1">
      <c r="A319" s="93">
        <f t="shared" si="27"/>
        <v>85</v>
      </c>
      <c r="C319" s="924"/>
      <c r="D319" s="574"/>
      <c r="E319" s="502" t="s">
        <v>482</v>
      </c>
      <c r="F319" s="913" t="s">
        <v>630</v>
      </c>
      <c r="G319" s="913" t="s">
        <v>630</v>
      </c>
      <c r="H319" s="913" t="s">
        <v>630</v>
      </c>
      <c r="I319" s="913"/>
      <c r="J319" s="914">
        <v>2148</v>
      </c>
      <c r="K319" s="914">
        <v>2094</v>
      </c>
      <c r="L319" s="913">
        <v>2064</v>
      </c>
      <c r="M319" s="914">
        <v>1978</v>
      </c>
      <c r="N319" s="914">
        <v>2035</v>
      </c>
      <c r="O319" s="914">
        <v>2023</v>
      </c>
      <c r="P319" s="914">
        <v>1935</v>
      </c>
      <c r="Q319" s="914">
        <v>1838</v>
      </c>
      <c r="R319" s="914">
        <v>2148</v>
      </c>
      <c r="S319" s="913">
        <v>2200</v>
      </c>
      <c r="T319" s="914">
        <v>2138</v>
      </c>
    </row>
    <row r="320" spans="1:20" s="572" customFormat="1" ht="15" customHeight="1" thickBot="1">
      <c r="A320" s="93">
        <f t="shared" si="27"/>
        <v>84</v>
      </c>
      <c r="C320" s="924"/>
      <c r="D320" s="574"/>
      <c r="E320" s="572" t="s">
        <v>483</v>
      </c>
      <c r="F320" s="908"/>
      <c r="G320" s="908"/>
      <c r="H320" s="908"/>
      <c r="I320" s="908"/>
      <c r="S320" s="572">
        <v>1000</v>
      </c>
      <c r="T320" s="572" t="s">
        <v>484</v>
      </c>
    </row>
    <row r="321" spans="1:9" s="572" customFormat="1" ht="15" customHeight="1" thickBot="1">
      <c r="A321" s="93">
        <f t="shared" si="27"/>
        <v>83</v>
      </c>
      <c r="C321" s="924"/>
      <c r="D321" s="574"/>
      <c r="F321" s="908"/>
      <c r="G321" s="908"/>
      <c r="H321" s="908"/>
      <c r="I321" s="908"/>
    </row>
    <row r="322" spans="1:9" s="572" customFormat="1" ht="15" customHeight="1" thickBot="1">
      <c r="A322" s="93">
        <f t="shared" si="27"/>
        <v>82</v>
      </c>
      <c r="C322" s="924"/>
      <c r="D322" s="574"/>
      <c r="E322" s="572" t="s">
        <v>632</v>
      </c>
      <c r="F322" s="908"/>
      <c r="G322" s="908"/>
      <c r="H322" s="908"/>
      <c r="I322" s="908"/>
    </row>
    <row r="323" spans="1:5" s="572" customFormat="1" ht="15" customHeight="1" thickBot="1">
      <c r="A323" s="93">
        <f t="shared" si="27"/>
        <v>81</v>
      </c>
      <c r="C323" s="924"/>
      <c r="D323" s="574"/>
      <c r="E323" s="572" t="s">
        <v>633</v>
      </c>
    </row>
    <row r="324" spans="1:5" s="572" customFormat="1" ht="15" customHeight="1" thickBot="1">
      <c r="A324" s="93">
        <f t="shared" si="27"/>
        <v>80</v>
      </c>
      <c r="C324" s="924"/>
      <c r="D324" s="574"/>
      <c r="E324" s="573" t="s">
        <v>660</v>
      </c>
    </row>
    <row r="325" spans="1:5" s="572" customFormat="1" ht="15" customHeight="1" thickBot="1">
      <c r="A325" s="93">
        <f t="shared" si="27"/>
        <v>79</v>
      </c>
      <c r="C325" s="924"/>
      <c r="D325" s="574"/>
      <c r="E325" s="573" t="s">
        <v>659</v>
      </c>
    </row>
    <row r="326" spans="1:5" s="572" customFormat="1" ht="15" customHeight="1" thickBot="1">
      <c r="A326" s="93">
        <f t="shared" si="27"/>
        <v>78</v>
      </c>
      <c r="C326" s="924"/>
      <c r="D326" s="574"/>
      <c r="E326" s="572" t="s">
        <v>634</v>
      </c>
    </row>
    <row r="327" spans="1:5" s="572" customFormat="1" ht="15" customHeight="1" thickBot="1">
      <c r="A327" s="93">
        <f aca="true" t="shared" si="28" ref="A327:A390">IF(ISTEXT(D328),1,1+A328)</f>
        <v>77</v>
      </c>
      <c r="C327" s="924"/>
      <c r="D327" s="574"/>
      <c r="E327" s="573" t="s">
        <v>612</v>
      </c>
    </row>
    <row r="328" spans="1:5" s="572" customFormat="1" ht="15" customHeight="1" thickBot="1">
      <c r="A328" s="93">
        <f t="shared" si="28"/>
        <v>76</v>
      </c>
      <c r="C328" s="924"/>
      <c r="D328" s="574"/>
      <c r="E328" s="572" t="s">
        <v>635</v>
      </c>
    </row>
    <row r="329" spans="1:5" s="572" customFormat="1" ht="15" customHeight="1" thickBot="1">
      <c r="A329" s="93">
        <f t="shared" si="28"/>
        <v>75</v>
      </c>
      <c r="C329" s="924"/>
      <c r="D329" s="574"/>
      <c r="E329" s="572" t="s">
        <v>636</v>
      </c>
    </row>
    <row r="330" spans="1:5" s="572" customFormat="1" ht="15" customHeight="1" thickBot="1">
      <c r="A330" s="93">
        <f t="shared" si="28"/>
        <v>74</v>
      </c>
      <c r="C330" s="924"/>
      <c r="D330" s="574"/>
      <c r="E330" s="572" t="s">
        <v>637</v>
      </c>
    </row>
    <row r="331" spans="1:5" s="572" customFormat="1" ht="15" customHeight="1" thickBot="1">
      <c r="A331" s="93">
        <f t="shared" si="28"/>
        <v>73</v>
      </c>
      <c r="C331" s="924"/>
      <c r="D331" s="574"/>
      <c r="E331" s="572" t="s">
        <v>638</v>
      </c>
    </row>
    <row r="332" spans="1:5" s="572" customFormat="1" ht="15" customHeight="1" thickBot="1">
      <c r="A332" s="93">
        <f t="shared" si="28"/>
        <v>72</v>
      </c>
      <c r="C332" s="924"/>
      <c r="D332" s="574"/>
      <c r="E332" s="572" t="s">
        <v>639</v>
      </c>
    </row>
    <row r="333" spans="1:5" s="572" customFormat="1" ht="15" customHeight="1" thickBot="1">
      <c r="A333" s="93">
        <f t="shared" si="28"/>
        <v>71</v>
      </c>
      <c r="C333" s="924"/>
      <c r="D333" s="574"/>
      <c r="E333" s="572" t="s">
        <v>640</v>
      </c>
    </row>
    <row r="334" spans="1:5" s="572" customFormat="1" ht="15" customHeight="1" thickBot="1">
      <c r="A334" s="93">
        <f t="shared" si="28"/>
        <v>70</v>
      </c>
      <c r="C334" s="924"/>
      <c r="D334" s="574"/>
      <c r="E334" s="572" t="s">
        <v>641</v>
      </c>
    </row>
    <row r="335" spans="1:5" s="572" customFormat="1" ht="15" customHeight="1" thickBot="1">
      <c r="A335" s="93">
        <f t="shared" si="28"/>
        <v>69</v>
      </c>
      <c r="C335" s="924"/>
      <c r="D335" s="574"/>
      <c r="E335" s="572" t="s">
        <v>642</v>
      </c>
    </row>
    <row r="336" spans="1:5" s="572" customFormat="1" ht="15" customHeight="1" thickBot="1">
      <c r="A336" s="93">
        <f t="shared" si="28"/>
        <v>68</v>
      </c>
      <c r="C336" s="924"/>
      <c r="D336" s="574"/>
      <c r="E336" s="572" t="s">
        <v>647</v>
      </c>
    </row>
    <row r="337" spans="1:5" s="572" customFormat="1" ht="15" customHeight="1" thickBot="1">
      <c r="A337" s="93">
        <f t="shared" si="28"/>
        <v>67</v>
      </c>
      <c r="C337" s="924"/>
      <c r="D337" s="574"/>
      <c r="E337" s="572" t="s">
        <v>648</v>
      </c>
    </row>
    <row r="338" spans="1:5" s="572" customFormat="1" ht="15" customHeight="1" thickBot="1">
      <c r="A338" s="93">
        <f t="shared" si="28"/>
        <v>66</v>
      </c>
      <c r="C338" s="924"/>
      <c r="D338" s="574"/>
      <c r="E338" s="572" t="s">
        <v>649</v>
      </c>
    </row>
    <row r="339" spans="1:5" s="572" customFormat="1" ht="15" customHeight="1" thickBot="1">
      <c r="A339" s="93">
        <f t="shared" si="28"/>
        <v>65</v>
      </c>
      <c r="C339" s="924"/>
      <c r="D339" s="574"/>
      <c r="E339" s="572" t="s">
        <v>650</v>
      </c>
    </row>
    <row r="340" spans="1:5" s="572" customFormat="1" ht="15" customHeight="1" thickBot="1">
      <c r="A340" s="93">
        <f t="shared" si="28"/>
        <v>64</v>
      </c>
      <c r="C340" s="924"/>
      <c r="D340" s="574"/>
      <c r="E340" s="572" t="s">
        <v>651</v>
      </c>
    </row>
    <row r="341" spans="1:5" s="572" customFormat="1" ht="15" customHeight="1" thickBot="1">
      <c r="A341" s="93">
        <f t="shared" si="28"/>
        <v>63</v>
      </c>
      <c r="C341" s="924"/>
      <c r="D341" s="574"/>
      <c r="E341" s="572" t="s">
        <v>652</v>
      </c>
    </row>
    <row r="342" spans="1:5" s="572" customFormat="1" ht="15" customHeight="1" thickBot="1">
      <c r="A342" s="93">
        <f t="shared" si="28"/>
        <v>62</v>
      </c>
      <c r="C342" s="924"/>
      <c r="D342" s="574"/>
      <c r="E342" s="572" t="s">
        <v>653</v>
      </c>
    </row>
    <row r="343" spans="1:5" s="572" customFormat="1" ht="15" customHeight="1" thickBot="1">
      <c r="A343" s="93">
        <f t="shared" si="28"/>
        <v>61</v>
      </c>
      <c r="C343" s="924"/>
      <c r="D343" s="574"/>
      <c r="E343" s="572" t="s">
        <v>654</v>
      </c>
    </row>
    <row r="344" spans="1:5" s="572" customFormat="1" ht="15" customHeight="1" thickBot="1">
      <c r="A344" s="93">
        <f t="shared" si="28"/>
        <v>60</v>
      </c>
      <c r="C344" s="924"/>
      <c r="D344" s="574"/>
      <c r="E344" s="572" t="s">
        <v>655</v>
      </c>
    </row>
    <row r="345" spans="1:5" s="572" customFormat="1" ht="15" customHeight="1" thickBot="1">
      <c r="A345" s="93">
        <f t="shared" si="28"/>
        <v>59</v>
      </c>
      <c r="C345" s="924"/>
      <c r="D345" s="574"/>
      <c r="E345" s="572" t="s">
        <v>656</v>
      </c>
    </row>
    <row r="346" spans="1:5" s="572" customFormat="1" ht="15" customHeight="1" thickBot="1">
      <c r="A346" s="93">
        <f t="shared" si="28"/>
        <v>58</v>
      </c>
      <c r="C346" s="924"/>
      <c r="D346" s="574"/>
      <c r="E346" s="572" t="s">
        <v>657</v>
      </c>
    </row>
    <row r="347" spans="1:5" s="572" customFormat="1" ht="15" customHeight="1" thickBot="1">
      <c r="A347" s="93">
        <f t="shared" si="28"/>
        <v>57</v>
      </c>
      <c r="C347" s="924"/>
      <c r="D347" s="574"/>
      <c r="E347" s="572" t="s">
        <v>658</v>
      </c>
    </row>
    <row r="348" spans="1:4" s="572" customFormat="1" ht="15" customHeight="1" thickBot="1">
      <c r="A348" s="93">
        <f t="shared" si="28"/>
        <v>56</v>
      </c>
      <c r="C348" s="573"/>
      <c r="D348" s="574"/>
    </row>
    <row r="349" spans="1:9" s="572" customFormat="1" ht="15" customHeight="1" thickBot="1">
      <c r="A349" s="93">
        <f t="shared" si="28"/>
        <v>55</v>
      </c>
      <c r="C349" s="924"/>
      <c r="D349" s="574"/>
      <c r="E349" s="858" t="s">
        <v>759</v>
      </c>
      <c r="F349" s="572" t="s">
        <v>715</v>
      </c>
      <c r="I349" s="485" t="s">
        <v>475</v>
      </c>
    </row>
    <row r="350" spans="1:35" ht="15" customHeight="1" thickBot="1">
      <c r="A350" s="93">
        <f t="shared" si="28"/>
        <v>54</v>
      </c>
      <c r="C350" s="1"/>
      <c r="E350" s="817"/>
      <c r="F350" s="485"/>
      <c r="G350" s="485"/>
      <c r="H350" s="485"/>
      <c r="I350" s="485"/>
      <c r="J350" s="485"/>
      <c r="K350" s="485"/>
      <c r="L350" s="485"/>
      <c r="N350" s="485"/>
      <c r="O350" s="485"/>
      <c r="P350" s="485"/>
      <c r="Q350" s="485"/>
      <c r="R350" s="485"/>
      <c r="S350" s="485"/>
      <c r="T350" s="485"/>
      <c r="U350" s="485"/>
      <c r="V350" s="485"/>
      <c r="W350" s="485"/>
      <c r="X350" s="485"/>
      <c r="Y350" s="485"/>
      <c r="Z350" s="485"/>
      <c r="AA350" s="485"/>
      <c r="AB350" s="485"/>
      <c r="AC350" s="485"/>
      <c r="AD350" s="485"/>
      <c r="AE350" s="485"/>
      <c r="AF350" s="485"/>
      <c r="AG350" s="485"/>
      <c r="AH350" s="485"/>
      <c r="AI350" s="485"/>
    </row>
    <row r="351" spans="1:35" ht="15" customHeight="1" thickBot="1">
      <c r="A351" s="93">
        <f t="shared" si="28"/>
        <v>53</v>
      </c>
      <c r="C351" s="1"/>
      <c r="E351" s="498" t="s">
        <v>485</v>
      </c>
      <c r="F351" s="499"/>
      <c r="G351" s="499"/>
      <c r="H351" s="499"/>
      <c r="I351" s="499"/>
      <c r="J351" s="499"/>
      <c r="K351" s="499"/>
      <c r="L351" s="499"/>
      <c r="M351" s="499"/>
      <c r="N351" s="499"/>
      <c r="O351" s="499"/>
      <c r="P351" s="499"/>
      <c r="Q351" s="499"/>
      <c r="R351" s="499"/>
      <c r="S351" s="499"/>
      <c r="T351" s="499"/>
      <c r="U351" s="499"/>
      <c r="V351" s="499"/>
      <c r="W351" s="499"/>
      <c r="X351" s="499"/>
      <c r="Y351" s="499"/>
      <c r="Z351" s="499"/>
      <c r="AA351" s="499"/>
      <c r="AB351" s="499"/>
      <c r="AC351" s="499"/>
      <c r="AD351" s="499"/>
      <c r="AE351" s="499"/>
      <c r="AF351" s="499"/>
      <c r="AG351" s="499"/>
      <c r="AH351" s="499"/>
      <c r="AI351" s="499"/>
    </row>
    <row r="352" spans="1:21" ht="15" customHeight="1" thickBot="1">
      <c r="A352" s="93">
        <f t="shared" si="28"/>
        <v>52</v>
      </c>
      <c r="C352" s="1"/>
      <c r="E352" s="500"/>
      <c r="F352" s="500">
        <v>1960</v>
      </c>
      <c r="G352" s="500">
        <v>1965</v>
      </c>
      <c r="H352" s="500">
        <v>1970</v>
      </c>
      <c r="I352" s="500">
        <v>1975</v>
      </c>
      <c r="J352" s="500">
        <v>1980</v>
      </c>
      <c r="K352" s="500">
        <v>1985</v>
      </c>
      <c r="L352" s="500">
        <v>1990</v>
      </c>
      <c r="M352" s="500">
        <v>1991</v>
      </c>
      <c r="N352" s="500">
        <v>1992</v>
      </c>
      <c r="O352" s="500">
        <v>1993</v>
      </c>
      <c r="P352" s="500">
        <v>1994</v>
      </c>
      <c r="Q352" s="500">
        <v>1995</v>
      </c>
      <c r="R352" s="500">
        <v>1996</v>
      </c>
      <c r="S352" s="500">
        <v>1997</v>
      </c>
      <c r="T352" s="500" t="s">
        <v>477</v>
      </c>
      <c r="U352" s="500">
        <v>1999</v>
      </c>
    </row>
    <row r="353" spans="1:21" ht="15" customHeight="1" thickBot="1">
      <c r="A353" s="93">
        <f t="shared" si="28"/>
        <v>51</v>
      </c>
      <c r="C353" s="1"/>
      <c r="E353" s="501" t="s">
        <v>486</v>
      </c>
      <c r="F353" s="502"/>
      <c r="G353" s="502"/>
      <c r="H353" s="502"/>
      <c r="I353" s="502"/>
      <c r="J353" s="502"/>
      <c r="K353" s="502"/>
      <c r="L353" s="502"/>
      <c r="M353" s="502"/>
      <c r="N353" s="502"/>
      <c r="O353" s="502"/>
      <c r="P353" s="502"/>
      <c r="Q353" s="502"/>
      <c r="R353" s="502"/>
      <c r="S353" s="502"/>
      <c r="T353" s="502"/>
      <c r="U353" s="502"/>
    </row>
    <row r="354" spans="1:22" ht="15" customHeight="1" thickBot="1">
      <c r="A354" s="93">
        <f t="shared" si="28"/>
        <v>50</v>
      </c>
      <c r="C354" s="1"/>
      <c r="E354" s="502" t="s">
        <v>487</v>
      </c>
      <c r="F354" s="503">
        <v>858</v>
      </c>
      <c r="G354" s="503">
        <v>1134</v>
      </c>
      <c r="H354" s="503">
        <v>2068</v>
      </c>
      <c r="I354" s="503">
        <v>1948</v>
      </c>
      <c r="J354" s="503">
        <v>2523</v>
      </c>
      <c r="K354" s="503">
        <v>3046</v>
      </c>
      <c r="L354" s="503">
        <v>3854</v>
      </c>
      <c r="M354" s="503">
        <v>3854</v>
      </c>
      <c r="N354" s="503">
        <v>3995</v>
      </c>
      <c r="O354" s="503">
        <v>4157</v>
      </c>
      <c r="P354" s="503">
        <v>4380</v>
      </c>
      <c r="Q354" s="503">
        <v>4629</v>
      </c>
      <c r="R354" s="503">
        <v>4811</v>
      </c>
      <c r="S354" s="503">
        <v>4911</v>
      </c>
      <c r="T354" s="503">
        <v>5031</v>
      </c>
      <c r="U354" s="532">
        <v>5176</v>
      </c>
      <c r="V354" s="532"/>
    </row>
    <row r="355" spans="1:22" ht="15" customHeight="1" thickBot="1">
      <c r="A355" s="93">
        <f t="shared" si="28"/>
        <v>49</v>
      </c>
      <c r="C355" s="1"/>
      <c r="E355" s="502" t="s">
        <v>488</v>
      </c>
      <c r="F355" s="503">
        <v>182</v>
      </c>
      <c r="G355" s="503">
        <v>284</v>
      </c>
      <c r="H355" s="503">
        <v>475</v>
      </c>
      <c r="I355" s="503">
        <v>377</v>
      </c>
      <c r="J355" s="503">
        <v>401</v>
      </c>
      <c r="K355" s="503">
        <v>415</v>
      </c>
      <c r="L355" s="503">
        <v>807</v>
      </c>
      <c r="M355" s="503">
        <v>807</v>
      </c>
      <c r="N355" s="503">
        <v>904</v>
      </c>
      <c r="O355" s="503">
        <v>961</v>
      </c>
      <c r="P355" s="503">
        <v>980</v>
      </c>
      <c r="Q355" s="503">
        <v>998</v>
      </c>
      <c r="R355" s="503">
        <v>1043</v>
      </c>
      <c r="S355" s="503">
        <v>1114</v>
      </c>
      <c r="T355" s="503">
        <v>1191</v>
      </c>
      <c r="U355" s="532">
        <v>1197</v>
      </c>
      <c r="V355" s="532"/>
    </row>
    <row r="356" spans="1:23" ht="15" customHeight="1" thickBot="1">
      <c r="A356" s="93">
        <f t="shared" si="28"/>
        <v>48</v>
      </c>
      <c r="C356" s="1"/>
      <c r="E356" s="501" t="s">
        <v>489</v>
      </c>
      <c r="F356" s="505"/>
      <c r="G356" s="505"/>
      <c r="H356" s="505"/>
      <c r="I356" s="505"/>
      <c r="J356" s="505"/>
      <c r="K356" s="505"/>
      <c r="L356" s="505"/>
      <c r="M356" s="505"/>
      <c r="N356" s="505"/>
      <c r="O356" s="505"/>
      <c r="P356" s="505"/>
      <c r="Q356" s="505"/>
      <c r="R356" s="505"/>
      <c r="S356" s="505"/>
      <c r="T356" s="505"/>
      <c r="U356" s="505"/>
      <c r="V356" s="532"/>
      <c r="W356" t="s">
        <v>678</v>
      </c>
    </row>
    <row r="357" spans="1:21" ht="15" customHeight="1" thickBot="1">
      <c r="A357" s="93">
        <f t="shared" si="28"/>
        <v>47</v>
      </c>
      <c r="C357" s="1"/>
      <c r="E357" s="502" t="s">
        <v>487</v>
      </c>
      <c r="F357" s="503">
        <v>52220</v>
      </c>
      <c r="G357" s="503">
        <v>94787</v>
      </c>
      <c r="H357" s="503">
        <v>213160</v>
      </c>
      <c r="I357" s="503">
        <v>241282</v>
      </c>
      <c r="J357" s="503">
        <v>346028</v>
      </c>
      <c r="K357" s="503">
        <v>445826</v>
      </c>
      <c r="L357" s="503">
        <v>543638</v>
      </c>
      <c r="M357" s="503">
        <v>551562</v>
      </c>
      <c r="N357" s="532">
        <v>557989</v>
      </c>
      <c r="O357" s="532">
        <v>571489</v>
      </c>
      <c r="P357" s="532">
        <v>585438</v>
      </c>
      <c r="Q357" s="532">
        <v>603917</v>
      </c>
      <c r="R357" s="532">
        <v>626389</v>
      </c>
      <c r="S357" s="532">
        <v>640319</v>
      </c>
      <c r="T357" s="532">
        <v>649442</v>
      </c>
      <c r="U357" s="532">
        <v>686940</v>
      </c>
    </row>
    <row r="358" spans="1:23" ht="15" customHeight="1" thickBot="1">
      <c r="A358" s="93">
        <f t="shared" si="28"/>
        <v>46</v>
      </c>
      <c r="C358" s="1"/>
      <c r="E358" s="502" t="s">
        <v>488</v>
      </c>
      <c r="F358" s="503">
        <v>13347</v>
      </c>
      <c r="G358" s="503">
        <v>29533</v>
      </c>
      <c r="H358" s="503">
        <v>51960</v>
      </c>
      <c r="I358" s="503">
        <v>61724</v>
      </c>
      <c r="J358" s="503">
        <v>86507</v>
      </c>
      <c r="K358" s="503">
        <v>110963</v>
      </c>
      <c r="L358" s="503">
        <v>171561</v>
      </c>
      <c r="M358" s="503">
        <v>186468</v>
      </c>
      <c r="N358" s="532">
        <v>194784</v>
      </c>
      <c r="O358" s="532">
        <v>200151</v>
      </c>
      <c r="P358" s="532">
        <v>198893</v>
      </c>
      <c r="Q358" s="532">
        <v>203160</v>
      </c>
      <c r="R358" s="532">
        <v>208682</v>
      </c>
      <c r="S358" s="532">
        <v>216913</v>
      </c>
      <c r="T358" s="532">
        <v>224728</v>
      </c>
      <c r="U358" s="532">
        <v>230909</v>
      </c>
      <c r="V358" s="532" t="s">
        <v>678</v>
      </c>
      <c r="W358" t="s">
        <v>678</v>
      </c>
    </row>
    <row r="359" spans="1:21" ht="15" customHeight="1" thickBot="1">
      <c r="A359" s="93">
        <f t="shared" si="28"/>
        <v>45</v>
      </c>
      <c r="C359" s="1"/>
      <c r="E359" s="501" t="s">
        <v>490</v>
      </c>
      <c r="F359" s="503"/>
      <c r="G359" s="503"/>
      <c r="H359" s="503"/>
      <c r="I359" s="503"/>
      <c r="J359" s="503"/>
      <c r="K359" s="503"/>
      <c r="L359" s="503"/>
      <c r="M359" s="503"/>
      <c r="N359" s="503"/>
      <c r="O359" s="503"/>
      <c r="P359" s="503"/>
      <c r="Q359" s="503"/>
      <c r="R359" s="503"/>
      <c r="S359" s="503"/>
      <c r="T359" s="503"/>
      <c r="U359" s="503"/>
    </row>
    <row r="360" spans="1:23" ht="15" customHeight="1" thickBot="1">
      <c r="A360" s="93">
        <f t="shared" si="28"/>
        <v>44</v>
      </c>
      <c r="C360" s="1"/>
      <c r="E360" s="502" t="s">
        <v>487</v>
      </c>
      <c r="F360" s="503">
        <v>30557</v>
      </c>
      <c r="G360" s="503">
        <v>51887</v>
      </c>
      <c r="H360" s="503">
        <v>104147</v>
      </c>
      <c r="I360" s="503">
        <v>131728</v>
      </c>
      <c r="J360" s="503">
        <v>200289</v>
      </c>
      <c r="K360" s="503">
        <v>270584</v>
      </c>
      <c r="L360" s="503">
        <v>332566</v>
      </c>
      <c r="M360" s="503">
        <v>338085</v>
      </c>
      <c r="N360" s="532">
        <v>347931</v>
      </c>
      <c r="O360" s="532">
        <v>354177</v>
      </c>
      <c r="P360" s="532">
        <v>378990</v>
      </c>
      <c r="Q360" s="532">
        <v>394708</v>
      </c>
      <c r="R360" s="532">
        <v>425596</v>
      </c>
      <c r="S360" s="532">
        <v>442640</v>
      </c>
      <c r="T360" s="532">
        <v>455799</v>
      </c>
      <c r="U360" s="532">
        <v>479689</v>
      </c>
      <c r="V360" s="532"/>
      <c r="W360" t="s">
        <v>684</v>
      </c>
    </row>
    <row r="361" spans="1:21" ht="15" customHeight="1" thickBot="1">
      <c r="A361" s="93">
        <f t="shared" si="28"/>
        <v>43</v>
      </c>
      <c r="C361" s="1"/>
      <c r="E361" s="502" t="s">
        <v>488</v>
      </c>
      <c r="F361" s="503">
        <v>8306</v>
      </c>
      <c r="G361" s="503">
        <v>16789</v>
      </c>
      <c r="H361" s="503">
        <v>27563</v>
      </c>
      <c r="I361" s="503">
        <v>31082</v>
      </c>
      <c r="J361" s="503">
        <v>54363</v>
      </c>
      <c r="K361" s="503">
        <v>65819</v>
      </c>
      <c r="L361" s="503">
        <v>115389</v>
      </c>
      <c r="M361" s="503">
        <v>125211</v>
      </c>
      <c r="N361" s="532">
        <v>130622</v>
      </c>
      <c r="O361" s="532">
        <v>135508</v>
      </c>
      <c r="P361" s="532">
        <v>140391</v>
      </c>
      <c r="Q361" s="532">
        <v>145948</v>
      </c>
      <c r="R361" s="532">
        <v>153067</v>
      </c>
      <c r="S361" s="532">
        <v>160779</v>
      </c>
      <c r="T361" s="532">
        <v>163656</v>
      </c>
      <c r="U361" s="532">
        <v>171908</v>
      </c>
    </row>
    <row r="362" spans="1:22" ht="15" customHeight="1" thickBot="1">
      <c r="A362" s="93">
        <f t="shared" si="28"/>
        <v>42</v>
      </c>
      <c r="C362" s="1"/>
      <c r="E362" s="501" t="s">
        <v>491</v>
      </c>
      <c r="F362" s="503"/>
      <c r="G362" s="503"/>
      <c r="H362" s="503"/>
      <c r="I362" s="503"/>
      <c r="J362" s="503"/>
      <c r="K362" s="503"/>
      <c r="M362" s="503"/>
      <c r="N362" s="503"/>
      <c r="O362" s="503"/>
      <c r="P362" s="503"/>
      <c r="Q362" s="503"/>
      <c r="R362" s="503"/>
      <c r="S362" s="503"/>
      <c r="T362" s="503"/>
      <c r="U362" s="503"/>
      <c r="V362" s="532"/>
    </row>
    <row r="363" spans="1:21" ht="15" customHeight="1" thickBot="1">
      <c r="A363" s="93">
        <f t="shared" si="28"/>
        <v>41</v>
      </c>
      <c r="C363" s="1"/>
      <c r="E363" s="502" t="s">
        <v>487</v>
      </c>
      <c r="F363" s="503">
        <v>1954</v>
      </c>
      <c r="G363" s="503">
        <v>3889</v>
      </c>
      <c r="H363" s="503">
        <v>7857</v>
      </c>
      <c r="I363" s="503">
        <v>7558</v>
      </c>
      <c r="J363" s="503">
        <v>9096</v>
      </c>
      <c r="K363" s="504" t="s">
        <v>673</v>
      </c>
      <c r="L363" s="504" t="s">
        <v>674</v>
      </c>
      <c r="M363" s="504" t="s">
        <v>492</v>
      </c>
      <c r="N363" s="916" t="s">
        <v>685</v>
      </c>
      <c r="O363" s="504" t="s">
        <v>686</v>
      </c>
      <c r="P363" s="504" t="s">
        <v>687</v>
      </c>
      <c r="Q363" s="532">
        <v>12812</v>
      </c>
      <c r="R363" s="504" t="s">
        <v>688</v>
      </c>
      <c r="S363" s="532">
        <v>13660</v>
      </c>
      <c r="T363" s="532">
        <v>13877</v>
      </c>
      <c r="U363" s="532">
        <v>14402</v>
      </c>
    </row>
    <row r="364" spans="1:22" ht="15" customHeight="1" thickBot="1">
      <c r="A364" s="93">
        <f t="shared" si="28"/>
        <v>40</v>
      </c>
      <c r="C364" s="1"/>
      <c r="E364" s="502" t="s">
        <v>488</v>
      </c>
      <c r="F364" s="503">
        <v>566</v>
      </c>
      <c r="G364" s="503">
        <v>1280</v>
      </c>
      <c r="H364" s="503">
        <v>2243</v>
      </c>
      <c r="I364" s="503">
        <v>1949</v>
      </c>
      <c r="J364" s="503">
        <v>1938</v>
      </c>
      <c r="K364" s="504" t="s">
        <v>672</v>
      </c>
      <c r="L364" s="504" t="s">
        <v>675</v>
      </c>
      <c r="M364" s="503">
        <v>3945</v>
      </c>
      <c r="N364" s="916" t="s">
        <v>689</v>
      </c>
      <c r="O364" s="504" t="s">
        <v>690</v>
      </c>
      <c r="P364" s="504" t="s">
        <v>691</v>
      </c>
      <c r="Q364" s="504" t="s">
        <v>692</v>
      </c>
      <c r="R364" s="504" t="s">
        <v>693</v>
      </c>
      <c r="S364" s="532">
        <v>4964</v>
      </c>
      <c r="T364" s="532">
        <v>5186</v>
      </c>
      <c r="U364" s="532">
        <v>5250</v>
      </c>
      <c r="V364" s="532"/>
    </row>
    <row r="365" spans="1:21" ht="15" customHeight="1" thickBot="1">
      <c r="A365" s="93">
        <f t="shared" si="28"/>
        <v>39</v>
      </c>
      <c r="C365" s="1"/>
      <c r="E365" s="501" t="s">
        <v>493</v>
      </c>
      <c r="F365" s="505"/>
      <c r="G365" s="505"/>
      <c r="H365" s="505"/>
      <c r="I365" s="505"/>
      <c r="J365" s="505"/>
      <c r="K365" s="505"/>
      <c r="L365" s="505"/>
      <c r="M365" s="505"/>
      <c r="N365" s="505"/>
      <c r="O365" s="505"/>
      <c r="P365" s="505"/>
      <c r="Q365" s="505"/>
      <c r="R365" s="505"/>
      <c r="S365" s="505"/>
      <c r="T365" s="505"/>
      <c r="U365" s="505"/>
    </row>
    <row r="366" spans="1:21" ht="15" customHeight="1" thickBot="1">
      <c r="A366" s="93">
        <f t="shared" si="28"/>
        <v>38</v>
      </c>
      <c r="C366" s="1"/>
      <c r="E366" s="502" t="s">
        <v>487</v>
      </c>
      <c r="F366" s="506">
        <v>60.9</v>
      </c>
      <c r="G366" s="506">
        <v>83.6</v>
      </c>
      <c r="H366" s="506">
        <v>103.1</v>
      </c>
      <c r="I366" s="506">
        <v>123.9</v>
      </c>
      <c r="J366" s="506">
        <v>137.1</v>
      </c>
      <c r="K366" s="506">
        <v>146.4</v>
      </c>
      <c r="L366" s="506">
        <v>141.1</v>
      </c>
      <c r="M366" s="506">
        <v>143.1</v>
      </c>
      <c r="N366">
        <v>139.7</v>
      </c>
      <c r="O366">
        <v>137.4</v>
      </c>
      <c r="P366">
        <v>133.7</v>
      </c>
      <c r="Q366">
        <v>130.5</v>
      </c>
      <c r="R366">
        <v>130.2</v>
      </c>
      <c r="S366">
        <v>131.1</v>
      </c>
      <c r="T366">
        <v>129.1</v>
      </c>
      <c r="U366" s="917">
        <v>132.7</v>
      </c>
    </row>
    <row r="367" spans="1:21" ht="15" customHeight="1" thickBot="1">
      <c r="A367" s="93">
        <f t="shared" si="28"/>
        <v>37</v>
      </c>
      <c r="C367" s="1"/>
      <c r="E367" s="502" t="s">
        <v>488</v>
      </c>
      <c r="F367" s="506">
        <v>73.3</v>
      </c>
      <c r="G367" s="506">
        <v>104</v>
      </c>
      <c r="H367" s="506">
        <v>109.4</v>
      </c>
      <c r="I367" s="506">
        <v>163.7</v>
      </c>
      <c r="J367" s="506">
        <v>215.7</v>
      </c>
      <c r="K367" s="506">
        <v>245.7</v>
      </c>
      <c r="L367" s="506">
        <v>212.6</v>
      </c>
      <c r="M367" s="506">
        <v>231.1</v>
      </c>
      <c r="N367">
        <v>215.5</v>
      </c>
      <c r="O367">
        <v>208.7</v>
      </c>
      <c r="P367">
        <v>203</v>
      </c>
      <c r="Q367">
        <v>203.6</v>
      </c>
      <c r="R367">
        <v>200.1</v>
      </c>
      <c r="S367">
        <v>194.7</v>
      </c>
      <c r="T367">
        <v>188.7</v>
      </c>
      <c r="U367">
        <v>192.9</v>
      </c>
    </row>
    <row r="368" spans="1:21" ht="15" customHeight="1" thickBot="1">
      <c r="A368" s="93">
        <f t="shared" si="28"/>
        <v>36</v>
      </c>
      <c r="C368" s="1"/>
      <c r="E368" s="501" t="s">
        <v>494</v>
      </c>
      <c r="F368" s="503"/>
      <c r="G368" s="503"/>
      <c r="H368" s="503"/>
      <c r="I368" s="503"/>
      <c r="J368" s="503"/>
      <c r="K368" s="503"/>
      <c r="L368" s="503"/>
      <c r="M368" s="503"/>
      <c r="N368" s="503"/>
      <c r="O368" s="503"/>
      <c r="P368" s="503"/>
      <c r="Q368" s="503"/>
      <c r="R368" s="503"/>
      <c r="S368" s="503"/>
      <c r="T368" s="503"/>
      <c r="U368" s="503"/>
    </row>
    <row r="369" spans="1:21" ht="15" customHeight="1" thickBot="1">
      <c r="A369" s="93">
        <f t="shared" si="28"/>
        <v>35</v>
      </c>
      <c r="C369" s="1"/>
      <c r="E369" s="502" t="s">
        <v>487</v>
      </c>
      <c r="F369" s="503">
        <v>27.084753325596296</v>
      </c>
      <c r="G369" s="503">
        <v>24</v>
      </c>
      <c r="H369" s="503">
        <v>27</v>
      </c>
      <c r="I369" s="503">
        <v>32</v>
      </c>
      <c r="J369" s="503">
        <v>38</v>
      </c>
      <c r="K369" s="503">
        <v>44</v>
      </c>
      <c r="L369" s="503">
        <v>47</v>
      </c>
      <c r="M369" s="503">
        <v>47.395072102443656</v>
      </c>
      <c r="N369">
        <v>47</v>
      </c>
      <c r="O369">
        <v>48</v>
      </c>
      <c r="P369">
        <v>47</v>
      </c>
      <c r="Q369">
        <v>47</v>
      </c>
      <c r="R369">
        <v>48</v>
      </c>
      <c r="S369">
        <v>47</v>
      </c>
      <c r="T369">
        <v>47</v>
      </c>
      <c r="U369">
        <v>48</v>
      </c>
    </row>
    <row r="370" spans="1:23" ht="15" customHeight="1" thickBot="1">
      <c r="A370" s="93">
        <f t="shared" si="28"/>
        <v>34</v>
      </c>
      <c r="C370" s="1"/>
      <c r="E370" s="502" t="s">
        <v>488</v>
      </c>
      <c r="F370" s="503">
        <v>24</v>
      </c>
      <c r="G370" s="503">
        <v>23</v>
      </c>
      <c r="H370" s="503">
        <v>23</v>
      </c>
      <c r="I370" s="503">
        <v>32</v>
      </c>
      <c r="J370" s="503">
        <v>45</v>
      </c>
      <c r="K370" s="503">
        <v>41</v>
      </c>
      <c r="L370" s="503">
        <v>47</v>
      </c>
      <c r="M370" s="503">
        <v>47.27037106891454</v>
      </c>
      <c r="N370">
        <v>47</v>
      </c>
      <c r="O370" s="503">
        <v>49</v>
      </c>
      <c r="P370" s="503">
        <v>46</v>
      </c>
      <c r="Q370" s="503">
        <v>45</v>
      </c>
      <c r="R370" s="503">
        <v>45</v>
      </c>
      <c r="S370" s="503">
        <v>44</v>
      </c>
      <c r="T370" s="503">
        <v>43</v>
      </c>
      <c r="U370" s="503">
        <v>44</v>
      </c>
      <c r="W370" t="s">
        <v>694</v>
      </c>
    </row>
    <row r="371" spans="1:21" ht="15" customHeight="1" thickBot="1">
      <c r="A371" s="93">
        <f t="shared" si="28"/>
        <v>33</v>
      </c>
      <c r="C371" s="1"/>
      <c r="E371" s="501" t="s">
        <v>495</v>
      </c>
      <c r="F371" s="503"/>
      <c r="G371" s="503"/>
      <c r="H371" s="503"/>
      <c r="I371" s="503"/>
      <c r="J371" s="503"/>
      <c r="K371" s="503"/>
      <c r="L371" s="503"/>
      <c r="M371" s="503"/>
      <c r="N371" s="503"/>
      <c r="O371" s="503"/>
      <c r="P371" s="503"/>
      <c r="Q371" s="503"/>
      <c r="R371" s="503"/>
      <c r="S371" s="503"/>
      <c r="T371" s="503"/>
      <c r="U371" s="503"/>
    </row>
    <row r="372" spans="1:23" ht="15" customHeight="1" thickBot="1">
      <c r="A372" s="93">
        <f t="shared" si="28"/>
        <v>32</v>
      </c>
      <c r="C372" s="1"/>
      <c r="E372" s="502" t="s">
        <v>487</v>
      </c>
      <c r="F372" s="503">
        <v>8633</v>
      </c>
      <c r="G372" s="503">
        <v>10118</v>
      </c>
      <c r="H372" s="503">
        <v>10185</v>
      </c>
      <c r="I372" s="503">
        <v>7746</v>
      </c>
      <c r="J372" s="503">
        <v>6131</v>
      </c>
      <c r="K372" s="503">
        <v>5047</v>
      </c>
      <c r="L372" s="503">
        <v>4671</v>
      </c>
      <c r="M372" s="503">
        <v>4646.960867829096</v>
      </c>
      <c r="N372" s="532">
        <v>4564</v>
      </c>
      <c r="O372" s="532">
        <v>4558</v>
      </c>
      <c r="P372" s="532">
        <v>4444</v>
      </c>
      <c r="Q372" s="532">
        <v>4382</v>
      </c>
      <c r="R372" s="532">
        <v>4183</v>
      </c>
      <c r="S372" s="532">
        <v>4146</v>
      </c>
      <c r="T372" s="532">
        <v>4123</v>
      </c>
      <c r="U372">
        <v>4053</v>
      </c>
      <c r="W372" t="s">
        <v>695</v>
      </c>
    </row>
    <row r="373" spans="1:21" ht="15" customHeight="1" thickBot="1">
      <c r="A373" s="93">
        <f t="shared" si="28"/>
        <v>31</v>
      </c>
      <c r="C373" s="1"/>
      <c r="E373" s="502" t="s">
        <v>488</v>
      </c>
      <c r="F373" s="503">
        <v>9199</v>
      </c>
      <c r="G373" s="503">
        <v>10292</v>
      </c>
      <c r="H373" s="503">
        <v>10986</v>
      </c>
      <c r="I373" s="503">
        <v>8465</v>
      </c>
      <c r="J373" s="503">
        <v>4813</v>
      </c>
      <c r="K373" s="503">
        <v>5103</v>
      </c>
      <c r="L373" s="503">
        <v>4610</v>
      </c>
      <c r="M373" s="503">
        <v>4253.109710808156</v>
      </c>
      <c r="N373" s="532">
        <v>4258</v>
      </c>
      <c r="O373" s="532">
        <v>4099</v>
      </c>
      <c r="P373" s="532">
        <v>4161</v>
      </c>
      <c r="Q373" s="532">
        <v>4173</v>
      </c>
      <c r="R373" s="532">
        <v>4108</v>
      </c>
      <c r="S373" s="532">
        <v>4168</v>
      </c>
      <c r="T373" s="532">
        <v>4278</v>
      </c>
      <c r="U373" s="532">
        <v>4123</v>
      </c>
    </row>
    <row r="374" spans="1:23" ht="15" customHeight="1" thickBot="1">
      <c r="A374" s="93">
        <f t="shared" si="28"/>
        <v>30</v>
      </c>
      <c r="C374" s="1"/>
      <c r="E374" s="501" t="s">
        <v>496</v>
      </c>
      <c r="F374" s="503"/>
      <c r="G374" s="503"/>
      <c r="H374" s="503"/>
      <c r="I374" s="503"/>
      <c r="J374" s="503"/>
      <c r="K374" s="503"/>
      <c r="L374" s="503"/>
      <c r="M374" s="503"/>
      <c r="N374" s="503"/>
      <c r="O374" s="503"/>
      <c r="P374" s="503"/>
      <c r="Q374" s="503"/>
      <c r="R374" s="508"/>
      <c r="S374" s="503"/>
      <c r="T374" s="503"/>
      <c r="U374" s="503"/>
      <c r="W374" t="s">
        <v>696</v>
      </c>
    </row>
    <row r="375" spans="1:21" ht="15" customHeight="1" thickBot="1">
      <c r="A375" s="93">
        <f t="shared" si="28"/>
        <v>29</v>
      </c>
      <c r="C375" s="1"/>
      <c r="E375" s="502" t="s">
        <v>487</v>
      </c>
      <c r="F375" s="507" t="s">
        <v>662</v>
      </c>
      <c r="G375" s="507" t="s">
        <v>664</v>
      </c>
      <c r="H375" s="507" t="s">
        <v>666</v>
      </c>
      <c r="I375" s="506">
        <v>54.6</v>
      </c>
      <c r="J375" s="507" t="s">
        <v>668</v>
      </c>
      <c r="K375" s="507" t="s">
        <v>671</v>
      </c>
      <c r="L375" s="507" t="s">
        <v>676</v>
      </c>
      <c r="M375" s="506">
        <v>61.29591958836903</v>
      </c>
      <c r="N375" s="507" t="s">
        <v>697</v>
      </c>
      <c r="O375" s="507" t="s">
        <v>698</v>
      </c>
      <c r="P375" s="507" t="s">
        <v>699</v>
      </c>
      <c r="Q375" s="507" t="s">
        <v>700</v>
      </c>
      <c r="R375" s="507" t="s">
        <v>701</v>
      </c>
      <c r="S375" s="506">
        <v>69.12096306590706</v>
      </c>
      <c r="T375" s="506">
        <v>70.15062001791549</v>
      </c>
      <c r="U375" s="506">
        <v>69.8</v>
      </c>
    </row>
    <row r="376" spans="1:23" ht="15" customHeight="1" thickBot="1">
      <c r="A376" s="93">
        <f t="shared" si="28"/>
        <v>28</v>
      </c>
      <c r="C376" s="1"/>
      <c r="E376" s="509" t="s">
        <v>488</v>
      </c>
      <c r="F376" s="915" t="s">
        <v>663</v>
      </c>
      <c r="G376" s="915" t="s">
        <v>665</v>
      </c>
      <c r="H376" s="915" t="s">
        <v>667</v>
      </c>
      <c r="I376" s="510">
        <v>54.4</v>
      </c>
      <c r="J376" s="915" t="s">
        <v>669</v>
      </c>
      <c r="K376" s="915" t="s">
        <v>670</v>
      </c>
      <c r="L376" s="915" t="s">
        <v>677</v>
      </c>
      <c r="M376" s="510">
        <v>67.14878692322543</v>
      </c>
      <c r="N376" s="915" t="s">
        <v>702</v>
      </c>
      <c r="O376" s="915" t="s">
        <v>703</v>
      </c>
      <c r="P376" s="915" t="s">
        <v>704</v>
      </c>
      <c r="Q376" s="915" t="s">
        <v>705</v>
      </c>
      <c r="R376" s="915" t="s">
        <v>706</v>
      </c>
      <c r="S376" s="510">
        <v>74.1</v>
      </c>
      <c r="T376" s="915" t="s">
        <v>707</v>
      </c>
      <c r="U376" s="510">
        <v>74.4</v>
      </c>
      <c r="W376" t="s">
        <v>696</v>
      </c>
    </row>
    <row r="377" spans="1:35" ht="15" customHeight="1" thickBot="1">
      <c r="A377" s="93">
        <f t="shared" si="28"/>
        <v>27</v>
      </c>
      <c r="C377" s="1"/>
      <c r="E377" s="511" t="s">
        <v>497</v>
      </c>
      <c r="F377" s="511"/>
      <c r="G377" s="511"/>
      <c r="H377" s="511"/>
      <c r="I377" s="511"/>
      <c r="J377" s="511"/>
      <c r="K377" s="511"/>
      <c r="L377" s="511"/>
      <c r="M377" s="511"/>
      <c r="N377" s="511"/>
      <c r="O377" s="511"/>
      <c r="P377" s="511"/>
      <c r="Q377" s="511"/>
      <c r="R377" s="511"/>
      <c r="S377" s="511"/>
      <c r="T377" s="511"/>
      <c r="U377" s="511"/>
      <c r="V377" s="511"/>
      <c r="W377" s="918"/>
      <c r="X377" s="511"/>
      <c r="Y377" s="511"/>
      <c r="Z377" s="511"/>
      <c r="AA377" s="511"/>
      <c r="AB377" s="511"/>
      <c r="AC377" s="511"/>
      <c r="AD377" s="511"/>
      <c r="AE377" s="511"/>
      <c r="AF377" s="511"/>
      <c r="AG377" s="511"/>
      <c r="AH377" s="511"/>
      <c r="AI377" s="511"/>
    </row>
    <row r="378" spans="1:35" ht="15" customHeight="1" thickBot="1">
      <c r="A378" s="93">
        <f t="shared" si="28"/>
        <v>26</v>
      </c>
      <c r="C378" s="1"/>
      <c r="E378" s="512" t="s">
        <v>498</v>
      </c>
      <c r="F378" s="512"/>
      <c r="G378" s="512"/>
      <c r="H378" s="512"/>
      <c r="I378" s="512"/>
      <c r="J378" s="512"/>
      <c r="K378" s="512"/>
      <c r="L378" s="512"/>
      <c r="M378" s="512"/>
      <c r="N378" s="512"/>
      <c r="O378" s="512"/>
      <c r="P378" s="512"/>
      <c r="Q378" s="512"/>
      <c r="R378" s="512"/>
      <c r="S378" s="512"/>
      <c r="T378" s="512"/>
      <c r="U378" s="512"/>
      <c r="V378" s="512"/>
      <c r="X378" s="512"/>
      <c r="Y378" s="512"/>
      <c r="Z378" s="512"/>
      <c r="AA378" s="512"/>
      <c r="AB378" s="512"/>
      <c r="AC378" s="512"/>
      <c r="AD378" s="512"/>
      <c r="AE378" s="512"/>
      <c r="AF378" s="512"/>
      <c r="AG378" s="512"/>
      <c r="AH378" s="512"/>
      <c r="AI378" s="512"/>
    </row>
    <row r="379" spans="1:35" ht="15" customHeight="1" thickBot="1">
      <c r="A379" s="93">
        <f t="shared" si="28"/>
        <v>25</v>
      </c>
      <c r="C379" s="1"/>
      <c r="E379" s="513" t="s">
        <v>499</v>
      </c>
      <c r="F379" s="514"/>
      <c r="G379" s="514"/>
      <c r="H379" s="514"/>
      <c r="I379" s="514"/>
      <c r="J379" s="514"/>
      <c r="K379" s="514"/>
      <c r="L379" s="514"/>
      <c r="M379" s="514"/>
      <c r="N379" s="514"/>
      <c r="O379" s="514"/>
      <c r="P379" s="514"/>
      <c r="Q379" s="514"/>
      <c r="R379" s="514"/>
      <c r="S379" s="514"/>
      <c r="T379" s="514"/>
      <c r="U379" s="514"/>
      <c r="V379" s="514"/>
      <c r="W379" s="514"/>
      <c r="X379" s="514"/>
      <c r="Y379" s="514"/>
      <c r="Z379" s="514"/>
      <c r="AA379" s="514"/>
      <c r="AB379" s="514"/>
      <c r="AC379" s="514"/>
      <c r="AD379" s="514"/>
      <c r="AE379" s="514"/>
      <c r="AF379" s="514"/>
      <c r="AG379" s="514"/>
      <c r="AH379" s="514"/>
      <c r="AI379" s="514"/>
    </row>
    <row r="380" spans="1:35" ht="15" customHeight="1" thickBot="1">
      <c r="A380" s="93">
        <f t="shared" si="28"/>
        <v>24</v>
      </c>
      <c r="C380" s="1"/>
      <c r="E380" s="515" t="s">
        <v>500</v>
      </c>
      <c r="F380" s="516"/>
      <c r="G380" s="516"/>
      <c r="H380" s="516"/>
      <c r="I380" s="516"/>
      <c r="J380" s="516"/>
      <c r="K380" s="516"/>
      <c r="L380" s="516"/>
      <c r="M380" s="516"/>
      <c r="N380" s="516"/>
      <c r="O380" s="516"/>
      <c r="P380" s="516"/>
      <c r="Q380" s="516"/>
      <c r="R380" s="516"/>
      <c r="S380" s="516"/>
      <c r="T380" s="516"/>
      <c r="U380" s="516"/>
      <c r="V380" s="516"/>
      <c r="W380" s="516"/>
      <c r="X380" s="516"/>
      <c r="Y380" s="516"/>
      <c r="Z380" s="516"/>
      <c r="AA380" s="516"/>
      <c r="AB380" s="516"/>
      <c r="AC380" s="516"/>
      <c r="AD380" s="516"/>
      <c r="AE380" s="516"/>
      <c r="AF380" s="516"/>
      <c r="AG380" s="516"/>
      <c r="AH380" s="516"/>
      <c r="AI380" s="516"/>
    </row>
    <row r="381" spans="1:35" ht="15" customHeight="1" thickBot="1">
      <c r="A381" s="93">
        <f t="shared" si="28"/>
        <v>23</v>
      </c>
      <c r="C381" s="1"/>
      <c r="E381" s="514" t="s">
        <v>501</v>
      </c>
      <c r="F381" s="514"/>
      <c r="G381" s="514"/>
      <c r="H381" s="514"/>
      <c r="I381" s="514"/>
      <c r="J381" s="514"/>
      <c r="K381" s="514"/>
      <c r="L381" s="514"/>
      <c r="M381" s="514"/>
      <c r="N381" s="514"/>
      <c r="O381" s="514"/>
      <c r="P381" s="514"/>
      <c r="Q381" s="514"/>
      <c r="R381" s="514"/>
      <c r="S381" s="514"/>
      <c r="T381" s="514"/>
      <c r="U381" s="514"/>
      <c r="V381" s="514"/>
      <c r="W381" s="514"/>
      <c r="X381" s="514"/>
      <c r="Y381" s="514"/>
      <c r="Z381" s="514"/>
      <c r="AA381" s="514"/>
      <c r="AB381" s="514"/>
      <c r="AC381" s="514"/>
      <c r="AD381" s="514"/>
      <c r="AE381" s="514"/>
      <c r="AF381" s="514"/>
      <c r="AG381" s="514"/>
      <c r="AH381" s="514"/>
      <c r="AI381" s="514"/>
    </row>
    <row r="382" spans="1:35" ht="15" customHeight="1" thickBot="1">
      <c r="A382" s="93">
        <f t="shared" si="28"/>
        <v>22</v>
      </c>
      <c r="C382" s="1"/>
      <c r="E382" s="514" t="s">
        <v>502</v>
      </c>
      <c r="F382" s="514"/>
      <c r="G382" s="514"/>
      <c r="H382" s="514"/>
      <c r="I382" s="514"/>
      <c r="J382" s="514"/>
      <c r="K382" s="514"/>
      <c r="L382" s="514"/>
      <c r="M382" s="514"/>
      <c r="N382" s="514"/>
      <c r="O382" s="514"/>
      <c r="P382" s="514"/>
      <c r="Q382" s="514"/>
      <c r="R382" s="514"/>
      <c r="S382" s="514"/>
      <c r="T382" s="514"/>
      <c r="U382" s="514"/>
      <c r="V382" s="514"/>
      <c r="W382" s="514"/>
      <c r="X382" s="514"/>
      <c r="Y382" s="514"/>
      <c r="Z382" s="514"/>
      <c r="AA382" s="514"/>
      <c r="AB382" s="514"/>
      <c r="AC382" s="514"/>
      <c r="AD382" s="514"/>
      <c r="AE382" s="514"/>
      <c r="AF382" s="514"/>
      <c r="AG382" s="514"/>
      <c r="AH382" s="514"/>
      <c r="AI382" s="514"/>
    </row>
    <row r="383" spans="1:35" ht="15" customHeight="1" thickBot="1">
      <c r="A383" s="93">
        <f t="shared" si="28"/>
        <v>21</v>
      </c>
      <c r="C383" s="1"/>
      <c r="E383" s="514" t="s">
        <v>503</v>
      </c>
      <c r="F383" s="514"/>
      <c r="G383" s="514"/>
      <c r="H383" s="514"/>
      <c r="I383" s="514"/>
      <c r="J383" s="514"/>
      <c r="K383" s="514"/>
      <c r="L383" s="514"/>
      <c r="M383" s="514"/>
      <c r="N383" s="514"/>
      <c r="O383" s="514"/>
      <c r="P383" s="514"/>
      <c r="Q383" s="514"/>
      <c r="R383" s="514"/>
      <c r="S383" s="514"/>
      <c r="T383" s="514"/>
      <c r="U383" s="514"/>
      <c r="V383" s="514"/>
      <c r="W383" s="514"/>
      <c r="X383" s="514"/>
      <c r="Y383" s="514"/>
      <c r="Z383" s="514"/>
      <c r="AA383" s="514"/>
      <c r="AB383" s="514"/>
      <c r="AC383" s="514"/>
      <c r="AD383" s="514"/>
      <c r="AE383" s="514"/>
      <c r="AF383" s="514"/>
      <c r="AG383" s="514"/>
      <c r="AH383" s="514"/>
      <c r="AI383" s="514"/>
    </row>
    <row r="384" spans="1:35" ht="15" customHeight="1" thickBot="1">
      <c r="A384" s="93">
        <f t="shared" si="28"/>
        <v>20</v>
      </c>
      <c r="C384" s="1"/>
      <c r="E384" s="514" t="s">
        <v>504</v>
      </c>
      <c r="F384" s="514"/>
      <c r="G384" s="514"/>
      <c r="H384" s="514"/>
      <c r="I384" s="514"/>
      <c r="J384" s="514"/>
      <c r="K384" s="514"/>
      <c r="L384" s="514"/>
      <c r="M384" s="514"/>
      <c r="N384" s="514"/>
      <c r="O384" s="514"/>
      <c r="P384" s="514"/>
      <c r="Q384" s="514"/>
      <c r="R384" s="514"/>
      <c r="S384" s="514"/>
      <c r="T384" s="514"/>
      <c r="U384" s="514"/>
      <c r="V384" s="514"/>
      <c r="W384" s="514"/>
      <c r="X384" s="514"/>
      <c r="Y384" s="514"/>
      <c r="Z384" s="514"/>
      <c r="AA384" s="514"/>
      <c r="AB384" s="514"/>
      <c r="AC384" s="514"/>
      <c r="AD384" s="514"/>
      <c r="AE384" s="514"/>
      <c r="AF384" s="514"/>
      <c r="AG384" s="514"/>
      <c r="AH384" s="514"/>
      <c r="AI384" s="514"/>
    </row>
    <row r="385" spans="1:35" ht="15" customHeight="1" thickBot="1">
      <c r="A385" s="93">
        <f t="shared" si="28"/>
        <v>19</v>
      </c>
      <c r="C385" s="1"/>
      <c r="E385" s="513" t="s">
        <v>612</v>
      </c>
      <c r="F385" s="514"/>
      <c r="G385" s="514"/>
      <c r="H385" s="514"/>
      <c r="I385" s="514"/>
      <c r="J385" s="514"/>
      <c r="K385" s="514"/>
      <c r="L385" s="514"/>
      <c r="M385" s="514"/>
      <c r="N385" s="514"/>
      <c r="O385" s="514"/>
      <c r="P385" s="514"/>
      <c r="Q385" s="514"/>
      <c r="R385" s="514"/>
      <c r="S385" s="514"/>
      <c r="T385" s="514"/>
      <c r="U385" s="514"/>
      <c r="V385" s="514"/>
      <c r="W385" s="514"/>
      <c r="X385" s="514"/>
      <c r="Y385" s="514"/>
      <c r="Z385" s="514"/>
      <c r="AA385" s="514"/>
      <c r="AB385" s="514"/>
      <c r="AC385" s="514"/>
      <c r="AD385" s="514"/>
      <c r="AE385" s="514"/>
      <c r="AF385" s="514"/>
      <c r="AG385" s="514"/>
      <c r="AH385" s="514"/>
      <c r="AI385" s="514"/>
    </row>
    <row r="386" spans="1:35" ht="15" customHeight="1" thickBot="1">
      <c r="A386" s="93">
        <f t="shared" si="28"/>
        <v>18</v>
      </c>
      <c r="C386" s="1"/>
      <c r="E386" s="514" t="s">
        <v>708</v>
      </c>
      <c r="F386" s="514"/>
      <c r="G386" s="514"/>
      <c r="H386" s="514"/>
      <c r="I386" s="514"/>
      <c r="J386" s="514"/>
      <c r="K386" s="514"/>
      <c r="L386" s="514"/>
      <c r="M386" s="514"/>
      <c r="N386" s="514"/>
      <c r="O386" s="514"/>
      <c r="P386" s="514"/>
      <c r="Q386" s="514"/>
      <c r="R386" s="514"/>
      <c r="S386" s="514"/>
      <c r="T386" s="514"/>
      <c r="U386" s="514"/>
      <c r="V386" s="514"/>
      <c r="W386" s="514"/>
      <c r="X386" s="514"/>
      <c r="Y386" s="514"/>
      <c r="Z386" s="514"/>
      <c r="AA386" s="514"/>
      <c r="AB386" s="514"/>
      <c r="AC386" s="514"/>
      <c r="AD386" s="514"/>
      <c r="AE386" s="514"/>
      <c r="AF386" s="514"/>
      <c r="AG386" s="514"/>
      <c r="AH386" s="514"/>
      <c r="AI386" s="514"/>
    </row>
    <row r="387" spans="1:35" ht="15" customHeight="1" thickBot="1">
      <c r="A387" s="93">
        <f t="shared" si="28"/>
        <v>17</v>
      </c>
      <c r="C387" s="1"/>
      <c r="E387" s="514" t="s">
        <v>709</v>
      </c>
      <c r="F387" s="514"/>
      <c r="G387" s="514"/>
      <c r="H387" s="514"/>
      <c r="I387" s="514"/>
      <c r="J387" s="514"/>
      <c r="K387" s="514"/>
      <c r="L387" s="514"/>
      <c r="M387" s="514"/>
      <c r="N387" s="514"/>
      <c r="O387" s="514"/>
      <c r="P387" s="514"/>
      <c r="Q387" s="514"/>
      <c r="R387" s="514"/>
      <c r="S387" s="514"/>
      <c r="T387" s="514"/>
      <c r="U387" s="514"/>
      <c r="V387" s="514"/>
      <c r="W387" s="514"/>
      <c r="X387" s="514"/>
      <c r="Y387" s="514"/>
      <c r="Z387" s="514"/>
      <c r="AA387" s="514"/>
      <c r="AB387" s="514"/>
      <c r="AC387" s="514"/>
      <c r="AD387" s="514"/>
      <c r="AE387" s="514"/>
      <c r="AF387" s="514"/>
      <c r="AG387" s="514"/>
      <c r="AH387" s="514"/>
      <c r="AI387" s="514"/>
    </row>
    <row r="388" spans="1:35" ht="15" customHeight="1" thickBot="1">
      <c r="A388" s="93">
        <f t="shared" si="28"/>
        <v>16</v>
      </c>
      <c r="C388" s="1"/>
      <c r="E388" s="514" t="s">
        <v>711</v>
      </c>
      <c r="F388" s="514"/>
      <c r="G388" s="514"/>
      <c r="H388" s="514"/>
      <c r="I388" s="514"/>
      <c r="J388" s="514"/>
      <c r="K388" s="514"/>
      <c r="L388" s="514"/>
      <c r="M388" s="514"/>
      <c r="N388" s="514"/>
      <c r="O388" s="514"/>
      <c r="P388" s="514"/>
      <c r="Q388" s="514"/>
      <c r="R388" s="514"/>
      <c r="S388" s="514"/>
      <c r="T388" s="514"/>
      <c r="U388" s="514"/>
      <c r="V388" s="514"/>
      <c r="W388" s="514"/>
      <c r="X388" s="514"/>
      <c r="Y388" s="514"/>
      <c r="Z388" s="514"/>
      <c r="AA388" s="514"/>
      <c r="AB388" s="514"/>
      <c r="AC388" s="514"/>
      <c r="AD388" s="514"/>
      <c r="AE388" s="514"/>
      <c r="AF388" s="514"/>
      <c r="AG388" s="514"/>
      <c r="AH388" s="514"/>
      <c r="AI388" s="514"/>
    </row>
    <row r="389" spans="1:35" ht="15" customHeight="1" thickBot="1">
      <c r="A389" s="93">
        <f t="shared" si="28"/>
        <v>15</v>
      </c>
      <c r="C389" s="1"/>
      <c r="E389" s="514" t="s">
        <v>714</v>
      </c>
      <c r="F389" s="514"/>
      <c r="G389" s="514"/>
      <c r="H389" s="514"/>
      <c r="I389" s="514"/>
      <c r="J389" s="514"/>
      <c r="K389" s="514"/>
      <c r="L389" s="514"/>
      <c r="M389" s="514"/>
      <c r="N389" s="514"/>
      <c r="O389" s="514"/>
      <c r="P389" s="514"/>
      <c r="Q389" s="514"/>
      <c r="R389" s="514"/>
      <c r="S389" s="514"/>
      <c r="T389" s="514"/>
      <c r="U389" s="514"/>
      <c r="V389" s="514"/>
      <c r="W389" s="514"/>
      <c r="X389" s="514"/>
      <c r="Y389" s="514"/>
      <c r="Z389" s="514"/>
      <c r="AA389" s="514"/>
      <c r="AB389" s="514"/>
      <c r="AC389" s="514"/>
      <c r="AD389" s="514"/>
      <c r="AE389" s="514"/>
      <c r="AF389" s="514"/>
      <c r="AG389" s="514"/>
      <c r="AH389" s="514"/>
      <c r="AI389" s="514"/>
    </row>
    <row r="390" spans="1:35" ht="15" customHeight="1" thickBot="1">
      <c r="A390" s="93">
        <f t="shared" si="28"/>
        <v>14</v>
      </c>
      <c r="C390" s="1"/>
      <c r="E390" s="514" t="s">
        <v>710</v>
      </c>
      <c r="F390" s="514"/>
      <c r="G390" s="514"/>
      <c r="H390" s="514"/>
      <c r="I390" s="514"/>
      <c r="J390" s="514"/>
      <c r="K390" s="514"/>
      <c r="L390" s="514"/>
      <c r="M390" s="514"/>
      <c r="N390" s="514"/>
      <c r="O390" s="514"/>
      <c r="P390" s="514"/>
      <c r="Q390" s="514"/>
      <c r="R390" s="514"/>
      <c r="S390" s="514"/>
      <c r="T390" s="514"/>
      <c r="U390" s="514"/>
      <c r="V390" s="514"/>
      <c r="W390" s="514"/>
      <c r="X390" s="514"/>
      <c r="Y390" s="514"/>
      <c r="Z390" s="514"/>
      <c r="AA390" s="514"/>
      <c r="AB390" s="514"/>
      <c r="AC390" s="514"/>
      <c r="AD390" s="514"/>
      <c r="AE390" s="514"/>
      <c r="AF390" s="514"/>
      <c r="AG390" s="514"/>
      <c r="AH390" s="514"/>
      <c r="AI390" s="514"/>
    </row>
    <row r="391" spans="1:35" ht="15" customHeight="1" thickBot="1">
      <c r="A391" s="93">
        <f aca="true" t="shared" si="29" ref="A391:A454">IF(ISTEXT(D392),1,1+A392)</f>
        <v>13</v>
      </c>
      <c r="E391" s="514"/>
      <c r="F391" s="514"/>
      <c r="G391" s="514"/>
      <c r="H391" s="514"/>
      <c r="I391" s="514"/>
      <c r="J391" s="514"/>
      <c r="K391" s="514"/>
      <c r="L391" s="514"/>
      <c r="M391" s="514"/>
      <c r="N391" s="514"/>
      <c r="O391" s="514"/>
      <c r="P391" s="514"/>
      <c r="Q391" s="514"/>
      <c r="R391" s="514"/>
      <c r="S391" s="514"/>
      <c r="T391" s="514"/>
      <c r="U391" s="514"/>
      <c r="V391" s="514"/>
      <c r="W391" s="514"/>
      <c r="X391" s="514"/>
      <c r="Y391" s="514"/>
      <c r="Z391" s="514"/>
      <c r="AA391" s="514"/>
      <c r="AB391" s="514"/>
      <c r="AC391" s="514"/>
      <c r="AD391" s="514"/>
      <c r="AE391" s="514"/>
      <c r="AF391" s="514"/>
      <c r="AG391" s="514"/>
      <c r="AH391" s="514"/>
      <c r="AI391" s="514"/>
    </row>
    <row r="392" spans="1:36" ht="15" customHeight="1" thickBot="1">
      <c r="A392" s="93">
        <f t="shared" si="29"/>
        <v>12</v>
      </c>
      <c r="E392" s="576" t="s">
        <v>505</v>
      </c>
      <c r="F392" s="514"/>
      <c r="G392" s="514"/>
      <c r="H392" s="514"/>
      <c r="I392" s="514"/>
      <c r="J392" s="514"/>
      <c r="K392" s="514"/>
      <c r="M392" s="514" t="s">
        <v>506</v>
      </c>
      <c r="N392" s="514"/>
      <c r="O392" s="514" t="s">
        <v>506</v>
      </c>
      <c r="P392" s="514"/>
      <c r="Q392" s="514"/>
      <c r="R392" s="514"/>
      <c r="S392" s="514"/>
      <c r="T392" s="514"/>
      <c r="U392" s="514"/>
      <c r="V392" s="514"/>
      <c r="W392" s="514"/>
      <c r="X392" s="514"/>
      <c r="Y392" s="514"/>
      <c r="Z392" s="514"/>
      <c r="AA392" s="514"/>
      <c r="AB392" s="514"/>
      <c r="AC392" s="514"/>
      <c r="AD392" s="514"/>
      <c r="AE392" s="514"/>
      <c r="AF392" s="514"/>
      <c r="AG392" s="514"/>
      <c r="AH392" s="514"/>
      <c r="AI392" s="514"/>
      <c r="AJ392" s="514"/>
    </row>
    <row r="393" spans="1:36" ht="15" customHeight="1" thickBot="1">
      <c r="A393" s="93">
        <f t="shared" si="29"/>
        <v>11</v>
      </c>
      <c r="F393" s="514" t="s">
        <v>507</v>
      </c>
      <c r="G393" s="577" t="s">
        <v>508</v>
      </c>
      <c r="H393" s="577" t="s">
        <v>509</v>
      </c>
      <c r="I393" s="577" t="s">
        <v>56</v>
      </c>
      <c r="J393" s="577" t="s">
        <v>510</v>
      </c>
      <c r="K393" s="514" t="s">
        <v>506</v>
      </c>
      <c r="L393" s="577" t="s">
        <v>511</v>
      </c>
      <c r="M393" s="577" t="s">
        <v>439</v>
      </c>
      <c r="N393" s="514"/>
      <c r="O393" s="514" t="s">
        <v>512</v>
      </c>
      <c r="P393" s="514"/>
      <c r="Q393" s="514"/>
      <c r="R393" s="514"/>
      <c r="S393" s="514"/>
      <c r="T393" s="514"/>
      <c r="U393" s="514"/>
      <c r="V393" s="514"/>
      <c r="W393" s="514"/>
      <c r="X393" s="514"/>
      <c r="Y393" s="514"/>
      <c r="Z393" s="514"/>
      <c r="AA393" s="514"/>
      <c r="AB393" s="514"/>
      <c r="AC393" s="514"/>
      <c r="AD393" s="514"/>
      <c r="AE393" s="514"/>
      <c r="AF393" s="514"/>
      <c r="AG393" s="514"/>
      <c r="AH393" s="514"/>
      <c r="AI393" s="514"/>
      <c r="AJ393" s="514"/>
    </row>
    <row r="394" spans="1:36" ht="15" customHeight="1" thickBot="1">
      <c r="A394" s="93">
        <f t="shared" si="29"/>
        <v>10</v>
      </c>
      <c r="E394" s="576" t="s">
        <v>513</v>
      </c>
      <c r="F394" s="513">
        <v>1998</v>
      </c>
      <c r="G394" s="514" t="s">
        <v>514</v>
      </c>
      <c r="H394" s="514"/>
      <c r="I394" s="514" t="s">
        <v>515</v>
      </c>
      <c r="J394" s="514" t="s">
        <v>516</v>
      </c>
      <c r="K394" s="514" t="s">
        <v>517</v>
      </c>
      <c r="L394" t="s">
        <v>518</v>
      </c>
      <c r="M394" s="514" t="s">
        <v>506</v>
      </c>
      <c r="N394" s="514"/>
      <c r="O394" s="514" t="s">
        <v>519</v>
      </c>
      <c r="P394" s="514"/>
      <c r="Q394" s="514"/>
      <c r="R394" s="514"/>
      <c r="S394" s="514"/>
      <c r="T394" s="514"/>
      <c r="U394" s="514"/>
      <c r="V394" s="514"/>
      <c r="W394" s="514"/>
      <c r="X394" s="514"/>
      <c r="Y394" s="514"/>
      <c r="Z394" s="514"/>
      <c r="AA394" s="514"/>
      <c r="AB394" s="514"/>
      <c r="AC394" s="514"/>
      <c r="AD394" s="514"/>
      <c r="AE394" s="514"/>
      <c r="AF394" s="514"/>
      <c r="AG394" s="514"/>
      <c r="AH394" s="514"/>
      <c r="AI394" s="514"/>
      <c r="AJ394" s="514"/>
    </row>
    <row r="395" spans="1:36" ht="15" customHeight="1" thickBot="1">
      <c r="A395" s="93">
        <f t="shared" si="29"/>
        <v>9</v>
      </c>
      <c r="E395" s="502" t="s">
        <v>520</v>
      </c>
      <c r="F395" s="503">
        <v>4034</v>
      </c>
      <c r="G395" s="514">
        <f>1055*F395</f>
        <v>4255870</v>
      </c>
      <c r="H395" s="514">
        <f>G395/10^9</f>
        <v>0.00425587</v>
      </c>
      <c r="I395" s="578">
        <v>71.5</v>
      </c>
      <c r="J395" s="591">
        <f>ROUND(I395*H395*1000,1)</f>
        <v>304.3</v>
      </c>
      <c r="K395" s="593">
        <f>J395/1.6093</f>
        <v>189.08842353818432</v>
      </c>
      <c r="L395" s="609">
        <f>J395/453.597</f>
        <v>0.6708598160922582</v>
      </c>
      <c r="M395" s="577">
        <v>180</v>
      </c>
      <c r="N395" s="514" t="s">
        <v>521</v>
      </c>
      <c r="O395" s="579">
        <f>1.7*O403</f>
        <v>37.71204871683341</v>
      </c>
      <c r="P395" s="514" t="s">
        <v>522</v>
      </c>
      <c r="Q395" s="514"/>
      <c r="R395" s="514"/>
      <c r="S395" s="514" t="s">
        <v>523</v>
      </c>
      <c r="T395" s="514"/>
      <c r="U395" s="514"/>
      <c r="V395" s="514"/>
      <c r="W395" s="514"/>
      <c r="X395" s="514"/>
      <c r="Y395" s="514"/>
      <c r="Z395" s="514"/>
      <c r="AA395" s="514"/>
      <c r="AB395" s="514"/>
      <c r="AC395" s="514"/>
      <c r="AD395" s="514"/>
      <c r="AE395" s="514"/>
      <c r="AF395" s="514"/>
      <c r="AG395" s="514"/>
      <c r="AH395" s="514"/>
      <c r="AI395" s="514"/>
      <c r="AJ395" s="514"/>
    </row>
    <row r="396" spans="1:36" ht="15" customHeight="1" thickBot="1">
      <c r="A396" s="93">
        <f t="shared" si="29"/>
        <v>8</v>
      </c>
      <c r="E396" s="502" t="s">
        <v>524</v>
      </c>
      <c r="F396" s="503">
        <v>4070</v>
      </c>
      <c r="G396" s="514">
        <f aca="true" t="shared" si="30" ref="G396:G403">1055*F396</f>
        <v>4293850</v>
      </c>
      <c r="H396" s="514">
        <f aca="true" t="shared" si="31" ref="H396:H403">G396/10^9</f>
        <v>0.00429385</v>
      </c>
      <c r="I396" s="578">
        <v>71.5</v>
      </c>
      <c r="J396" s="591">
        <f aca="true" t="shared" si="32" ref="J396:J402">ROUND(I396*H396*1000,1)</f>
        <v>307</v>
      </c>
      <c r="K396" s="593">
        <f aca="true" t="shared" si="33" ref="K396:K403">J396/1.6093</f>
        <v>190.76617162741564</v>
      </c>
      <c r="L396" s="609">
        <f aca="true" t="shared" si="34" ref="L396:L403">J396/453.597</f>
        <v>0.6768122364124983</v>
      </c>
      <c r="M396" s="577">
        <v>110</v>
      </c>
      <c r="N396" s="514" t="s">
        <v>525</v>
      </c>
      <c r="O396" s="579"/>
      <c r="P396" s="514" t="s">
        <v>526</v>
      </c>
      <c r="Q396" s="514"/>
      <c r="R396" s="514" t="s">
        <v>527</v>
      </c>
      <c r="S396" s="514">
        <v>12</v>
      </c>
      <c r="T396" s="514"/>
      <c r="U396" s="514"/>
      <c r="V396" s="514"/>
      <c r="W396" s="514"/>
      <c r="X396" s="514"/>
      <c r="Y396" s="514"/>
      <c r="Z396" s="514"/>
      <c r="AA396" s="514"/>
      <c r="AB396" s="514"/>
      <c r="AC396" s="514"/>
      <c r="AD396" s="514"/>
      <c r="AE396" s="514"/>
      <c r="AF396" s="514"/>
      <c r="AG396" s="514"/>
      <c r="AH396" s="514"/>
      <c r="AI396" s="514"/>
      <c r="AJ396" s="514"/>
    </row>
    <row r="397" spans="1:36" ht="15" customHeight="1" thickBot="1">
      <c r="A397" s="93">
        <f t="shared" si="29"/>
        <v>7</v>
      </c>
      <c r="E397" s="501" t="s">
        <v>528</v>
      </c>
      <c r="F397" s="513">
        <v>1997</v>
      </c>
      <c r="M397" s="514"/>
      <c r="N397" s="514"/>
      <c r="O397" s="579"/>
      <c r="P397" s="514" t="s">
        <v>529</v>
      </c>
      <c r="Q397" s="514"/>
      <c r="R397" s="514">
        <v>6.7</v>
      </c>
      <c r="S397" s="514" t="s">
        <v>530</v>
      </c>
      <c r="T397" s="514" t="s">
        <v>531</v>
      </c>
      <c r="U397" s="514"/>
      <c r="V397" s="514"/>
      <c r="W397" s="514"/>
      <c r="X397" s="514"/>
      <c r="Y397" s="514"/>
      <c r="Z397" s="514"/>
      <c r="AA397" s="514"/>
      <c r="AB397" s="514"/>
      <c r="AC397" s="514"/>
      <c r="AD397" s="514"/>
      <c r="AE397" s="514"/>
      <c r="AF397" s="514"/>
      <c r="AG397" s="514"/>
      <c r="AH397" s="514"/>
      <c r="AI397" s="514"/>
      <c r="AJ397" s="514"/>
    </row>
    <row r="398" spans="1:36" ht="15" customHeight="1" thickBot="1">
      <c r="A398" s="93">
        <f t="shared" si="29"/>
        <v>6</v>
      </c>
      <c r="E398" s="502" t="s">
        <v>458</v>
      </c>
      <c r="F398" s="575">
        <v>3657</v>
      </c>
      <c r="G398" s="514">
        <f t="shared" si="30"/>
        <v>3858135</v>
      </c>
      <c r="H398" s="514">
        <f t="shared" si="31"/>
        <v>0.003858135</v>
      </c>
      <c r="I398" s="578">
        <v>69.3</v>
      </c>
      <c r="J398" s="591">
        <f t="shared" si="32"/>
        <v>267.4</v>
      </c>
      <c r="K398" s="593">
        <f t="shared" si="33"/>
        <v>166.1591996520226</v>
      </c>
      <c r="L398" s="609">
        <f t="shared" si="34"/>
        <v>0.5895100717156418</v>
      </c>
      <c r="M398" s="514"/>
      <c r="N398" s="514"/>
      <c r="O398" s="579">
        <f>3*O403</f>
        <v>66.55067420617661</v>
      </c>
      <c r="P398" s="514" t="s">
        <v>532</v>
      </c>
      <c r="Q398" s="514"/>
      <c r="R398" s="514">
        <f>8.58/R397*1000</f>
        <v>1280.597014925373</v>
      </c>
      <c r="S398" s="514" t="s">
        <v>533</v>
      </c>
      <c r="T398" s="514"/>
      <c r="U398" s="514"/>
      <c r="V398" s="514"/>
      <c r="W398" s="514"/>
      <c r="X398" s="514"/>
      <c r="Y398" s="514"/>
      <c r="Z398" s="514"/>
      <c r="AA398" s="514"/>
      <c r="AB398" s="514"/>
      <c r="AC398" s="514"/>
      <c r="AD398" s="514"/>
      <c r="AE398" s="514"/>
      <c r="AF398" s="514"/>
      <c r="AG398" s="514"/>
      <c r="AH398" s="514"/>
      <c r="AI398" s="514"/>
      <c r="AJ398" s="514"/>
    </row>
    <row r="399" spans="1:36" ht="15" customHeight="1" thickBot="1">
      <c r="A399" s="93">
        <f t="shared" si="29"/>
        <v>5</v>
      </c>
      <c r="E399" s="502" t="s">
        <v>479</v>
      </c>
      <c r="F399" s="575">
        <v>4427</v>
      </c>
      <c r="G399" s="514">
        <f t="shared" si="30"/>
        <v>4670485</v>
      </c>
      <c r="H399" s="514">
        <f t="shared" si="31"/>
        <v>0.004670485</v>
      </c>
      <c r="I399" s="578">
        <v>73.33333333333333</v>
      </c>
      <c r="J399" s="591">
        <f t="shared" si="32"/>
        <v>342.5</v>
      </c>
      <c r="K399" s="593">
        <f t="shared" si="33"/>
        <v>212.82545205990183</v>
      </c>
      <c r="L399" s="609">
        <f t="shared" si="34"/>
        <v>0.7550755406230641</v>
      </c>
      <c r="M399" s="514"/>
      <c r="N399" s="514"/>
      <c r="O399" s="579">
        <f>O398</f>
        <v>66.55067420617661</v>
      </c>
      <c r="P399" s="514"/>
      <c r="Q399" s="514"/>
      <c r="R399" s="514">
        <f>R398/S396</f>
        <v>106.71641791044776</v>
      </c>
      <c r="S399" s="514" t="s">
        <v>534</v>
      </c>
      <c r="T399" s="514"/>
      <c r="U399" s="514"/>
      <c r="V399" s="514"/>
      <c r="W399" s="514"/>
      <c r="X399" s="514"/>
      <c r="Y399" s="514"/>
      <c r="Z399" s="514"/>
      <c r="AA399" s="514"/>
      <c r="AB399" s="514"/>
      <c r="AC399" s="514"/>
      <c r="AD399" s="514"/>
      <c r="AE399" s="514"/>
      <c r="AF399" s="514"/>
      <c r="AG399" s="514"/>
      <c r="AH399" s="514"/>
      <c r="AI399" s="514"/>
      <c r="AJ399" s="514"/>
    </row>
    <row r="400" spans="1:36" ht="15" customHeight="1" thickBot="1">
      <c r="A400" s="93">
        <f t="shared" si="29"/>
        <v>4</v>
      </c>
      <c r="E400" s="502" t="s">
        <v>480</v>
      </c>
      <c r="F400" s="575">
        <v>2104</v>
      </c>
      <c r="G400" s="514">
        <f t="shared" si="30"/>
        <v>2219720</v>
      </c>
      <c r="H400" s="514">
        <f t="shared" si="31"/>
        <v>0.00221972</v>
      </c>
      <c r="I400" s="578">
        <v>69.3</v>
      </c>
      <c r="J400" s="591">
        <f t="shared" si="32"/>
        <v>153.8</v>
      </c>
      <c r="K400" s="593">
        <f t="shared" si="33"/>
        <v>95.56950226806687</v>
      </c>
      <c r="L400" s="609">
        <f t="shared" si="34"/>
        <v>0.33906749824183147</v>
      </c>
      <c r="M400" s="514"/>
      <c r="N400" s="514"/>
      <c r="O400" s="579">
        <f>3*O403</f>
        <v>66.55067420617661</v>
      </c>
      <c r="P400" s="514" t="s">
        <v>535</v>
      </c>
      <c r="Q400" s="514"/>
      <c r="R400" s="514">
        <f>R399/1.6093</f>
        <v>66.31232082921007</v>
      </c>
      <c r="S400" s="514" t="s">
        <v>536</v>
      </c>
      <c r="T400" s="514"/>
      <c r="U400" s="514"/>
      <c r="V400" s="514"/>
      <c r="W400" s="514"/>
      <c r="X400" s="514"/>
      <c r="Y400" s="514"/>
      <c r="Z400" s="514"/>
      <c r="AA400" s="514"/>
      <c r="AB400" s="514"/>
      <c r="AC400" s="514"/>
      <c r="AD400" s="514"/>
      <c r="AE400" s="514"/>
      <c r="AF400" s="514"/>
      <c r="AG400" s="514"/>
      <c r="AH400" s="514"/>
      <c r="AI400" s="514"/>
      <c r="AJ400" s="514"/>
    </row>
    <row r="401" spans="1:36" ht="15" customHeight="1" thickBot="1">
      <c r="A401" s="93">
        <f t="shared" si="29"/>
        <v>3</v>
      </c>
      <c r="E401" s="502" t="s">
        <v>481</v>
      </c>
      <c r="F401" s="323">
        <v>3835</v>
      </c>
      <c r="G401" s="514">
        <f t="shared" si="30"/>
        <v>4045925</v>
      </c>
      <c r="H401" s="514">
        <f t="shared" si="31"/>
        <v>0.004045925</v>
      </c>
      <c r="I401" s="578">
        <v>74.06666666666666</v>
      </c>
      <c r="J401" s="591">
        <f t="shared" si="32"/>
        <v>299.7</v>
      </c>
      <c r="K401" s="593">
        <f t="shared" si="33"/>
        <v>186.23003790467905</v>
      </c>
      <c r="L401" s="609">
        <f t="shared" si="34"/>
        <v>0.6607186555466636</v>
      </c>
      <c r="M401" s="514"/>
      <c r="N401" s="514"/>
      <c r="P401" s="514" t="s">
        <v>537</v>
      </c>
      <c r="Q401" s="514"/>
      <c r="R401" s="514"/>
      <c r="S401" s="514"/>
      <c r="T401" s="514"/>
      <c r="U401" s="514"/>
      <c r="V401" s="514"/>
      <c r="W401" s="514"/>
      <c r="X401" s="514"/>
      <c r="Y401" s="514"/>
      <c r="Z401" s="514"/>
      <c r="AA401" s="514"/>
      <c r="AB401" s="514"/>
      <c r="AC401" s="514"/>
      <c r="AD401" s="514"/>
      <c r="AE401" s="514"/>
      <c r="AF401" s="514"/>
      <c r="AG401" s="514"/>
      <c r="AH401" s="514"/>
      <c r="AI401" s="514"/>
      <c r="AJ401" s="514"/>
    </row>
    <row r="402" spans="1:36" ht="15" customHeight="1" thickBot="1">
      <c r="A402" s="93">
        <f t="shared" si="29"/>
        <v>2</v>
      </c>
      <c r="E402" s="502" t="s">
        <v>578</v>
      </c>
      <c r="F402" s="323">
        <v>2200</v>
      </c>
      <c r="G402" s="514">
        <f t="shared" si="30"/>
        <v>2321000</v>
      </c>
      <c r="H402" s="514">
        <f t="shared" si="31"/>
        <v>0.002321</v>
      </c>
      <c r="I402" s="578">
        <v>74.06666666666666</v>
      </c>
      <c r="J402" s="591">
        <f t="shared" si="32"/>
        <v>171.9</v>
      </c>
      <c r="K402" s="593">
        <f t="shared" si="33"/>
        <v>106.81662834772884</v>
      </c>
      <c r="L402" s="609">
        <f t="shared" si="34"/>
        <v>0.3789707603886269</v>
      </c>
      <c r="M402" s="577">
        <v>60</v>
      </c>
      <c r="N402" s="514" t="s">
        <v>538</v>
      </c>
      <c r="O402" s="579">
        <f>1.2*O403</f>
        <v>26.620269682470642</v>
      </c>
      <c r="P402" s="514"/>
      <c r="Q402" s="514"/>
      <c r="R402" s="514"/>
      <c r="S402" s="514"/>
      <c r="T402" s="514"/>
      <c r="U402" s="514"/>
      <c r="V402" s="514"/>
      <c r="W402" s="514"/>
      <c r="X402" s="514"/>
      <c r="Y402" s="514"/>
      <c r="Z402" s="514"/>
      <c r="AA402" s="514"/>
      <c r="AB402" s="514"/>
      <c r="AC402" s="514"/>
      <c r="AD402" s="514"/>
      <c r="AE402" s="514"/>
      <c r="AF402" s="514"/>
      <c r="AG402" s="514"/>
      <c r="AH402" s="514"/>
      <c r="AI402" s="514"/>
      <c r="AJ402" s="514"/>
    </row>
    <row r="403" spans="1:15" ht="15" customHeight="1" thickBot="1">
      <c r="A403" s="93">
        <f t="shared" si="29"/>
        <v>1</v>
      </c>
      <c r="E403" s="608" t="s">
        <v>539</v>
      </c>
      <c r="F403" s="532">
        <v>1000</v>
      </c>
      <c r="G403" s="514">
        <f t="shared" si="30"/>
        <v>1055000</v>
      </c>
      <c r="H403" s="514">
        <f t="shared" si="31"/>
        <v>0.001055</v>
      </c>
      <c r="I403" s="578">
        <v>74.06666666666666</v>
      </c>
      <c r="J403" s="591">
        <f>ROUND(I403*H403*1000,1)</f>
        <v>78.1</v>
      </c>
      <c r="K403" s="593">
        <f t="shared" si="33"/>
        <v>48.53041695146958</v>
      </c>
      <c r="L403" s="609">
        <f t="shared" si="34"/>
        <v>0.17217926926324467</v>
      </c>
      <c r="O403" s="579">
        <f>35.7/1.6093</f>
        <v>22.183558068725535</v>
      </c>
    </row>
    <row r="404" spans="1:4" s="139" customFormat="1" ht="21.75" customHeight="1" thickBot="1">
      <c r="A404" s="93">
        <f t="shared" si="29"/>
        <v>295</v>
      </c>
      <c r="C404" s="330"/>
      <c r="D404" s="331" t="s">
        <v>540</v>
      </c>
    </row>
    <row r="405" spans="1:4" s="718" customFormat="1" ht="15" customHeight="1" thickBot="1">
      <c r="A405" s="93">
        <f t="shared" si="29"/>
        <v>294</v>
      </c>
      <c r="C405" s="833"/>
      <c r="D405" s="834"/>
    </row>
    <row r="406" spans="1:9" s="718" customFormat="1" ht="15" customHeight="1" thickBot="1">
      <c r="A406" s="93">
        <f t="shared" si="29"/>
        <v>293</v>
      </c>
      <c r="C406" s="833"/>
      <c r="D406" s="834"/>
      <c r="E406" s="858" t="s">
        <v>760</v>
      </c>
      <c r="F406" s="572" t="s">
        <v>716</v>
      </c>
      <c r="I406" s="485" t="s">
        <v>475</v>
      </c>
    </row>
    <row r="407" spans="1:19" ht="15" customHeight="1" thickBot="1">
      <c r="A407" s="93">
        <f t="shared" si="29"/>
        <v>292</v>
      </c>
      <c r="E407" s="497"/>
      <c r="F407" s="493"/>
      <c r="G407" s="493"/>
      <c r="H407" s="493"/>
      <c r="J407" s="493"/>
      <c r="K407" s="493"/>
      <c r="L407" s="493"/>
      <c r="M407" s="493"/>
      <c r="N407" s="493"/>
      <c r="O407" s="493"/>
      <c r="P407" s="493"/>
      <c r="Q407" s="493"/>
      <c r="R407" s="493"/>
      <c r="S407" s="493"/>
    </row>
    <row r="408" spans="1:19" ht="15" customHeight="1" thickBot="1">
      <c r="A408" s="93">
        <f t="shared" si="29"/>
        <v>291</v>
      </c>
      <c r="C408" s="15"/>
      <c r="E408" s="498" t="s">
        <v>541</v>
      </c>
      <c r="F408" s="517"/>
      <c r="G408" s="517"/>
      <c r="H408" s="517"/>
      <c r="I408" s="517"/>
      <c r="J408" s="517"/>
      <c r="K408" s="517"/>
      <c r="L408" s="517"/>
      <c r="M408" s="517"/>
      <c r="N408" s="517"/>
      <c r="O408" s="517"/>
      <c r="P408" s="517"/>
      <c r="Q408" s="517"/>
      <c r="R408" s="517"/>
      <c r="S408" s="517"/>
    </row>
    <row r="409" spans="1:24" ht="15" customHeight="1" thickBot="1">
      <c r="A409" s="93">
        <f t="shared" si="29"/>
        <v>290</v>
      </c>
      <c r="C409" s="15"/>
      <c r="E409" s="881"/>
      <c r="F409" s="518"/>
      <c r="G409" s="518"/>
      <c r="H409" s="519">
        <v>1960</v>
      </c>
      <c r="I409" s="519">
        <v>1965</v>
      </c>
      <c r="J409" s="519">
        <v>1970</v>
      </c>
      <c r="K409" s="519">
        <v>1975</v>
      </c>
      <c r="L409" s="519">
        <v>1980</v>
      </c>
      <c r="M409" s="519">
        <v>1985</v>
      </c>
      <c r="N409" s="519">
        <v>1990</v>
      </c>
      <c r="O409" s="519">
        <v>1991</v>
      </c>
      <c r="P409" s="519">
        <v>1992</v>
      </c>
      <c r="Q409" s="519">
        <v>1993</v>
      </c>
      <c r="R409" s="519">
        <v>1994</v>
      </c>
      <c r="S409" s="519">
        <v>1995</v>
      </c>
      <c r="T409" s="885">
        <v>1996</v>
      </c>
      <c r="U409" s="885">
        <v>1997</v>
      </c>
      <c r="V409" s="923">
        <v>1998</v>
      </c>
      <c r="W409" s="532"/>
      <c r="X409" s="532"/>
    </row>
    <row r="410" spans="1:24" ht="15" customHeight="1" thickBot="1">
      <c r="A410" s="93">
        <f t="shared" si="29"/>
        <v>289</v>
      </c>
      <c r="C410" s="15"/>
      <c r="E410" s="882" t="s">
        <v>542</v>
      </c>
      <c r="F410" s="520"/>
      <c r="G410" s="520"/>
      <c r="H410" s="503">
        <v>572309</v>
      </c>
      <c r="I410" s="503">
        <v>697878</v>
      </c>
      <c r="J410" s="503">
        <v>764809</v>
      </c>
      <c r="K410" s="503">
        <v>754252</v>
      </c>
      <c r="L410" s="503">
        <v>918958</v>
      </c>
      <c r="M410" s="503">
        <v>876984</v>
      </c>
      <c r="N410" s="503">
        <v>1033969</v>
      </c>
      <c r="O410" s="503">
        <v>1038875</v>
      </c>
      <c r="P410" s="503">
        <v>1066781</v>
      </c>
      <c r="Q410" s="503">
        <v>1109309</v>
      </c>
      <c r="R410" s="503">
        <v>1200700.907</v>
      </c>
      <c r="S410" s="503">
        <v>1305688</v>
      </c>
      <c r="T410" s="503">
        <v>1355975</v>
      </c>
      <c r="U410" s="919">
        <v>1348926</v>
      </c>
      <c r="V410" s="920">
        <v>1376802</v>
      </c>
      <c r="W410" s="532"/>
      <c r="X410" s="532"/>
    </row>
    <row r="411" spans="1:24" ht="15" customHeight="1" thickBot="1">
      <c r="A411" s="93">
        <f t="shared" si="29"/>
        <v>288</v>
      </c>
      <c r="C411" s="15"/>
      <c r="E411" s="882" t="s">
        <v>543</v>
      </c>
      <c r="F411" s="520"/>
      <c r="G411" s="520"/>
      <c r="H411" s="503">
        <v>28170</v>
      </c>
      <c r="I411" s="503">
        <v>29336</v>
      </c>
      <c r="J411" s="503">
        <v>29890</v>
      </c>
      <c r="K411" s="503">
        <v>27656</v>
      </c>
      <c r="L411" s="503">
        <v>29277</v>
      </c>
      <c r="M411" s="503">
        <v>24920</v>
      </c>
      <c r="N411" s="503">
        <v>26159</v>
      </c>
      <c r="O411" s="503">
        <v>25628</v>
      </c>
      <c r="P411" s="503">
        <v>26128</v>
      </c>
      <c r="Q411" s="503">
        <v>26883</v>
      </c>
      <c r="R411" s="503">
        <v>28485</v>
      </c>
      <c r="S411" s="503">
        <v>30383</v>
      </c>
      <c r="T411" s="503">
        <v>31715</v>
      </c>
      <c r="U411" s="503">
        <v>31660</v>
      </c>
      <c r="V411" s="920">
        <v>32657</v>
      </c>
      <c r="W411" s="532"/>
      <c r="X411" s="532"/>
    </row>
    <row r="412" spans="1:24" ht="15" customHeight="1" thickBot="1">
      <c r="A412" s="93">
        <f t="shared" si="29"/>
        <v>287</v>
      </c>
      <c r="C412" s="15"/>
      <c r="E412" s="882" t="s">
        <v>544</v>
      </c>
      <c r="F412" s="520"/>
      <c r="G412" s="520"/>
      <c r="H412" s="503">
        <v>44.4</v>
      </c>
      <c r="I412" s="503">
        <v>48.9</v>
      </c>
      <c r="J412" s="503">
        <v>54.9</v>
      </c>
      <c r="K412" s="503">
        <v>60.8</v>
      </c>
      <c r="L412" s="503">
        <v>67.1</v>
      </c>
      <c r="M412" s="503">
        <v>67.7</v>
      </c>
      <c r="N412" s="503">
        <v>66.6</v>
      </c>
      <c r="O412" s="503">
        <v>66.2</v>
      </c>
      <c r="P412" s="503">
        <v>66</v>
      </c>
      <c r="Q412" s="503">
        <v>64.4</v>
      </c>
      <c r="R412" s="503">
        <v>63.4</v>
      </c>
      <c r="S412" s="503">
        <v>65.3</v>
      </c>
      <c r="T412" s="503">
        <v>66.6</v>
      </c>
      <c r="U412" s="503">
        <v>63</v>
      </c>
      <c r="V412" s="921">
        <v>64</v>
      </c>
      <c r="W412" s="532"/>
      <c r="X412" s="532"/>
    </row>
    <row r="413" spans="1:24" ht="15" customHeight="1" thickBot="1">
      <c r="A413" s="93">
        <f t="shared" si="29"/>
        <v>286</v>
      </c>
      <c r="C413" s="15"/>
      <c r="E413" s="882" t="s">
        <v>491</v>
      </c>
      <c r="F413" s="520"/>
      <c r="G413" s="520"/>
      <c r="H413" s="503">
        <v>3463</v>
      </c>
      <c r="I413" s="503">
        <v>3592</v>
      </c>
      <c r="J413" s="503">
        <v>3545</v>
      </c>
      <c r="K413" s="503">
        <v>3657</v>
      </c>
      <c r="L413" s="503">
        <v>3904</v>
      </c>
      <c r="M413" s="503">
        <v>3110</v>
      </c>
      <c r="N413" s="503">
        <v>3115</v>
      </c>
      <c r="O413" s="503">
        <v>2906</v>
      </c>
      <c r="P413" s="503">
        <v>3005</v>
      </c>
      <c r="Q413" s="503">
        <v>3088</v>
      </c>
      <c r="R413" s="503">
        <v>3334.0391520000003</v>
      </c>
      <c r="S413" s="503">
        <v>3480</v>
      </c>
      <c r="T413" s="503">
        <v>3579</v>
      </c>
      <c r="U413" s="503">
        <v>3575</v>
      </c>
      <c r="V413" s="921">
        <v>3583</v>
      </c>
      <c r="X413" s="532"/>
    </row>
    <row r="414" spans="1:24" ht="15" customHeight="1" thickBot="1">
      <c r="A414" s="93">
        <f t="shared" si="29"/>
        <v>285</v>
      </c>
      <c r="C414" s="15"/>
      <c r="E414" s="882" t="s">
        <v>545</v>
      </c>
      <c r="F414" s="520"/>
      <c r="G414" s="520"/>
      <c r="H414" s="503">
        <v>839.2635796396702</v>
      </c>
      <c r="I414" s="503">
        <v>713.8932592802754</v>
      </c>
      <c r="J414" s="503">
        <v>642.8945004569769</v>
      </c>
      <c r="K414" s="503">
        <v>672.4886377497176</v>
      </c>
      <c r="L414" s="503">
        <v>589.2378106507588</v>
      </c>
      <c r="M414" s="503">
        <v>491.86416171788767</v>
      </c>
      <c r="N414" s="503">
        <v>417.8563380526882</v>
      </c>
      <c r="O414" s="503">
        <v>387.97949705209965</v>
      </c>
      <c r="P414" s="503">
        <v>390.702027876387</v>
      </c>
      <c r="Q414" s="503">
        <v>386.1012576297497</v>
      </c>
      <c r="R414" s="503">
        <v>385.13440581785125</v>
      </c>
      <c r="S414" s="503">
        <v>369.67177457401766</v>
      </c>
      <c r="T414" s="503">
        <v>366.08882907133244</v>
      </c>
      <c r="U414" s="503">
        <v>367.59058688171183</v>
      </c>
      <c r="V414" s="921">
        <v>361</v>
      </c>
      <c r="X414" s="532"/>
    </row>
    <row r="415" spans="1:22" ht="15" customHeight="1" thickBot="1">
      <c r="A415" s="93">
        <f t="shared" si="29"/>
        <v>284</v>
      </c>
      <c r="C415" s="15"/>
      <c r="E415" s="883" t="s">
        <v>546</v>
      </c>
      <c r="F415" s="517"/>
      <c r="G415" s="517"/>
      <c r="H415" s="521">
        <v>17050.69577564785</v>
      </c>
      <c r="I415" s="521">
        <v>16982.901554404147</v>
      </c>
      <c r="J415" s="521">
        <v>16450.033456005352</v>
      </c>
      <c r="K415" s="521">
        <v>18340.537315591555</v>
      </c>
      <c r="L415" s="521">
        <v>18495.228336236636</v>
      </c>
      <c r="M415" s="521">
        <v>17309.670947030496</v>
      </c>
      <c r="N415" s="521">
        <v>16516.323253947015</v>
      </c>
      <c r="O415" s="521">
        <v>15727.415326986109</v>
      </c>
      <c r="P415" s="521">
        <v>15951.986374770362</v>
      </c>
      <c r="Q415" s="521">
        <v>15932.209946806532</v>
      </c>
      <c r="R415" s="521">
        <v>16234.201522991048</v>
      </c>
      <c r="S415" s="521">
        <v>15886.383833064543</v>
      </c>
      <c r="T415" s="521">
        <v>15652.129906984077</v>
      </c>
      <c r="U415" s="521">
        <v>15661.797220467466</v>
      </c>
      <c r="V415" s="922">
        <v>15218</v>
      </c>
    </row>
    <row r="416" spans="1:19" ht="15" customHeight="1" thickBot="1">
      <c r="A416" s="93">
        <f t="shared" si="29"/>
        <v>283</v>
      </c>
      <c r="C416" s="15"/>
      <c r="E416" s="522" t="s">
        <v>548</v>
      </c>
      <c r="F416" s="522"/>
      <c r="G416" s="522"/>
      <c r="H416" s="522"/>
      <c r="I416" s="522"/>
      <c r="J416" s="522"/>
      <c r="K416" s="522"/>
      <c r="L416" s="522"/>
      <c r="M416" s="522"/>
      <c r="N416" s="522"/>
      <c r="O416" s="522"/>
      <c r="P416" s="522"/>
      <c r="Q416" s="522"/>
      <c r="R416" s="522"/>
      <c r="S416" s="522"/>
    </row>
    <row r="417" spans="1:19" ht="15" customHeight="1" thickBot="1">
      <c r="A417" s="93">
        <f t="shared" si="29"/>
        <v>282</v>
      </c>
      <c r="C417" s="15"/>
      <c r="E417" s="523" t="s">
        <v>549</v>
      </c>
      <c r="F417" s="524"/>
      <c r="G417" s="524"/>
      <c r="H417" s="524"/>
      <c r="I417" s="524"/>
      <c r="J417" s="513" t="s">
        <v>550</v>
      </c>
      <c r="K417" s="524"/>
      <c r="L417" s="524"/>
      <c r="M417" s="524"/>
      <c r="N417" s="524"/>
      <c r="O417" s="524"/>
      <c r="P417" s="524"/>
      <c r="Q417" s="524"/>
      <c r="R417" s="524"/>
      <c r="S417" s="524"/>
    </row>
    <row r="418" spans="1:19" ht="15" customHeight="1" thickBot="1">
      <c r="A418" s="93">
        <f t="shared" si="29"/>
        <v>281</v>
      </c>
      <c r="C418" s="15"/>
      <c r="E418" s="525" t="s">
        <v>717</v>
      </c>
      <c r="F418" s="514"/>
      <c r="G418" s="514"/>
      <c r="H418" s="514"/>
      <c r="I418" s="514"/>
      <c r="J418" s="514"/>
      <c r="K418" s="514"/>
      <c r="L418" s="514"/>
      <c r="M418" s="514"/>
      <c r="N418" s="514"/>
      <c r="O418" s="514"/>
      <c r="P418" s="514"/>
      <c r="Q418" s="514"/>
      <c r="R418" s="514"/>
      <c r="S418" s="514"/>
    </row>
    <row r="419" spans="1:19" ht="15" customHeight="1" thickBot="1">
      <c r="A419" s="93">
        <f t="shared" si="29"/>
        <v>280</v>
      </c>
      <c r="C419" s="15"/>
      <c r="E419" s="525"/>
      <c r="F419" s="514"/>
      <c r="G419" s="514"/>
      <c r="H419" s="514"/>
      <c r="I419" s="514"/>
      <c r="J419" s="514"/>
      <c r="K419" s="514"/>
      <c r="L419" s="514"/>
      <c r="M419" s="514"/>
      <c r="N419" s="514"/>
      <c r="O419" s="514"/>
      <c r="P419" s="514"/>
      <c r="Q419" s="514"/>
      <c r="R419" s="514"/>
      <c r="S419" s="514"/>
    </row>
    <row r="420" spans="1:25" ht="15" customHeight="1" thickBot="1">
      <c r="A420" s="93">
        <f t="shared" si="29"/>
        <v>279</v>
      </c>
      <c r="E420" s="886" t="s">
        <v>551</v>
      </c>
      <c r="F420" s="887"/>
      <c r="G420" s="887"/>
      <c r="H420" s="884">
        <v>1960</v>
      </c>
      <c r="I420" s="884">
        <v>1965</v>
      </c>
      <c r="J420" s="884">
        <v>1970</v>
      </c>
      <c r="K420" s="884">
        <v>1975</v>
      </c>
      <c r="L420" s="884">
        <v>1980</v>
      </c>
      <c r="M420" s="884">
        <v>1985</v>
      </c>
      <c r="N420" s="884">
        <v>1990</v>
      </c>
      <c r="O420" s="884">
        <v>1991</v>
      </c>
      <c r="P420" s="884">
        <v>1992</v>
      </c>
      <c r="Q420" s="884">
        <v>1993</v>
      </c>
      <c r="R420" s="884">
        <v>1994</v>
      </c>
      <c r="S420" s="884">
        <v>1995</v>
      </c>
      <c r="T420" s="884">
        <v>1996</v>
      </c>
      <c r="U420" s="884">
        <v>1997</v>
      </c>
      <c r="V420" s="34"/>
      <c r="W420" s="34"/>
      <c r="X420" s="34"/>
      <c r="Y420" s="208"/>
    </row>
    <row r="421" spans="1:25" ht="15" customHeight="1" thickBot="1">
      <c r="A421" s="93">
        <f t="shared" si="29"/>
        <v>278</v>
      </c>
      <c r="E421" s="119" t="s">
        <v>552</v>
      </c>
      <c r="F421" s="33"/>
      <c r="G421" s="33"/>
      <c r="H421" s="33">
        <f>1055*H414</f>
        <v>885423.076519852</v>
      </c>
      <c r="I421" s="33">
        <f aca="true" t="shared" si="35" ref="I421:N421">1055*I414</f>
        <v>753157.3885406905</v>
      </c>
      <c r="J421" s="33">
        <f t="shared" si="35"/>
        <v>678253.6979821105</v>
      </c>
      <c r="K421" s="33">
        <f t="shared" si="35"/>
        <v>709475.512825952</v>
      </c>
      <c r="L421" s="33">
        <f t="shared" si="35"/>
        <v>621645.8902365505</v>
      </c>
      <c r="M421" s="33">
        <f t="shared" si="35"/>
        <v>518916.6906123715</v>
      </c>
      <c r="N421" s="33">
        <f t="shared" si="35"/>
        <v>440838.43664558604</v>
      </c>
      <c r="O421" s="33">
        <f aca="true" t="shared" si="36" ref="O421:U421">1055*O414</f>
        <v>409318.36938996514</v>
      </c>
      <c r="P421" s="33">
        <f t="shared" si="36"/>
        <v>412190.63940958824</v>
      </c>
      <c r="Q421" s="33">
        <f t="shared" si="36"/>
        <v>407336.8267993859</v>
      </c>
      <c r="R421" s="33">
        <f t="shared" si="36"/>
        <v>406316.7981378331</v>
      </c>
      <c r="S421" s="33">
        <f t="shared" si="36"/>
        <v>390003.72217558866</v>
      </c>
      <c r="T421" s="33">
        <f t="shared" si="36"/>
        <v>386223.7146702557</v>
      </c>
      <c r="U421" s="33">
        <f t="shared" si="36"/>
        <v>387808.06916020595</v>
      </c>
      <c r="V421" s="33" t="s">
        <v>552</v>
      </c>
      <c r="W421" s="33"/>
      <c r="X421" s="33"/>
      <c r="Y421" s="44"/>
    </row>
    <row r="422" spans="1:25" ht="15" customHeight="1" thickBot="1">
      <c r="A422" s="93">
        <f t="shared" si="29"/>
        <v>277</v>
      </c>
      <c r="E422" s="119" t="s">
        <v>553</v>
      </c>
      <c r="F422" s="33"/>
      <c r="G422" s="33"/>
      <c r="H422" s="33">
        <f>H421/10^9</f>
        <v>0.0008854230765198521</v>
      </c>
      <c r="I422" s="33">
        <f aca="true" t="shared" si="37" ref="I422:N422">I421/10^9</f>
        <v>0.0007531573885406906</v>
      </c>
      <c r="J422" s="33">
        <f t="shared" si="37"/>
        <v>0.0006782536979821106</v>
      </c>
      <c r="K422" s="33">
        <f t="shared" si="37"/>
        <v>0.000709475512825952</v>
      </c>
      <c r="L422" s="33">
        <f t="shared" si="37"/>
        <v>0.0006216458902365505</v>
      </c>
      <c r="M422" s="33">
        <f t="shared" si="37"/>
        <v>0.0005189166906123715</v>
      </c>
      <c r="N422" s="33">
        <f t="shared" si="37"/>
        <v>0.00044083843664558604</v>
      </c>
      <c r="O422" s="33">
        <f aca="true" t="shared" si="38" ref="O422:U422">O421/10^9</f>
        <v>0.00040931836938996516</v>
      </c>
      <c r="P422" s="33">
        <f t="shared" si="38"/>
        <v>0.00041219063940958826</v>
      </c>
      <c r="Q422" s="33">
        <f t="shared" si="38"/>
        <v>0.0004073368267993859</v>
      </c>
      <c r="R422" s="33">
        <f t="shared" si="38"/>
        <v>0.00040631679813783305</v>
      </c>
      <c r="S422" s="33">
        <f t="shared" si="38"/>
        <v>0.00039000372217558863</v>
      </c>
      <c r="T422" s="33">
        <f t="shared" si="38"/>
        <v>0.00038622371467025575</v>
      </c>
      <c r="U422" s="33">
        <f t="shared" si="38"/>
        <v>0.00038780806916020595</v>
      </c>
      <c r="V422" s="33" t="s">
        <v>553</v>
      </c>
      <c r="W422" s="33"/>
      <c r="X422" s="33"/>
      <c r="Y422" s="44"/>
    </row>
    <row r="423" spans="1:25" ht="15" customHeight="1" thickBot="1">
      <c r="A423" s="93">
        <f t="shared" si="29"/>
        <v>276</v>
      </c>
      <c r="E423" s="842" t="s">
        <v>794</v>
      </c>
      <c r="F423" s="324"/>
      <c r="G423" s="324"/>
      <c r="H423" s="324">
        <f>74.067*H422</f>
        <v>0.06558063100859587</v>
      </c>
      <c r="I423" s="324">
        <f aca="true" t="shared" si="39" ref="I423:N423">74.067*I422</f>
        <v>0.055784108297043326</v>
      </c>
      <c r="J423" s="324">
        <f t="shared" si="39"/>
        <v>0.050236216648440975</v>
      </c>
      <c r="K423" s="324">
        <f t="shared" si="39"/>
        <v>0.05254872280847979</v>
      </c>
      <c r="L423" s="324">
        <f t="shared" si="39"/>
        <v>0.04604344615215058</v>
      </c>
      <c r="M423" s="324">
        <f t="shared" si="39"/>
        <v>0.03843460252358651</v>
      </c>
      <c r="N423" s="324">
        <f t="shared" si="39"/>
        <v>0.03265158048702862</v>
      </c>
      <c r="O423" s="324">
        <f aca="true" t="shared" si="40" ref="O423:U423">74.067*O422</f>
        <v>0.030316983665606548</v>
      </c>
      <c r="P423" s="324">
        <f t="shared" si="40"/>
        <v>0.03052972408914997</v>
      </c>
      <c r="Q423" s="324">
        <f t="shared" si="40"/>
        <v>0.03017021675055011</v>
      </c>
      <c r="R423" s="324">
        <f t="shared" si="40"/>
        <v>0.030094666287674876</v>
      </c>
      <c r="S423" s="324">
        <f t="shared" si="40"/>
        <v>0.02888640569037932</v>
      </c>
      <c r="T423" s="324">
        <f t="shared" si="40"/>
        <v>0.02860643187448183</v>
      </c>
      <c r="U423" s="324">
        <f t="shared" si="40"/>
        <v>0.02872378025848897</v>
      </c>
      <c r="V423" s="324" t="s">
        <v>554</v>
      </c>
      <c r="W423" s="33"/>
      <c r="X423" s="33"/>
      <c r="Y423" s="44"/>
    </row>
    <row r="424" spans="1:25" ht="15" customHeight="1" thickBot="1">
      <c r="A424" s="93">
        <f t="shared" si="29"/>
        <v>275</v>
      </c>
      <c r="E424" s="842" t="s">
        <v>795</v>
      </c>
      <c r="F424" s="324"/>
      <c r="G424" s="324"/>
      <c r="H424" s="324">
        <f>H423*1.102/1.6093</f>
        <v>0.04490763398463473</v>
      </c>
      <c r="I424" s="324">
        <f aca="true" t="shared" si="41" ref="I424:U424">I423*1.102/1.6093</f>
        <v>0.03819927132501196</v>
      </c>
      <c r="J424" s="324">
        <f t="shared" si="41"/>
        <v>0.034400242805307873</v>
      </c>
      <c r="K424" s="324">
        <f t="shared" si="41"/>
        <v>0.03598377712977365</v>
      </c>
      <c r="L424" s="324">
        <f t="shared" si="41"/>
        <v>0.03152916029309013</v>
      </c>
      <c r="M424" s="324">
        <f t="shared" si="41"/>
        <v>0.02631885414838274</v>
      </c>
      <c r="N424" s="324">
        <f t="shared" si="41"/>
        <v>0.022358815445663045</v>
      </c>
      <c r="O424" s="324">
        <f t="shared" si="41"/>
        <v>0.02076015410395726</v>
      </c>
      <c r="P424" s="324">
        <f t="shared" si="41"/>
        <v>0.020905832316064916</v>
      </c>
      <c r="Q424" s="324">
        <f t="shared" si="41"/>
        <v>0.020659652556456985</v>
      </c>
      <c r="R424" s="324">
        <f t="shared" si="41"/>
        <v>0.020607917882941477</v>
      </c>
      <c r="S424" s="324">
        <f t="shared" si="41"/>
        <v>0.019780537544769782</v>
      </c>
      <c r="T424" s="324">
        <f t="shared" si="41"/>
        <v>0.019588819937661702</v>
      </c>
      <c r="U424" s="324">
        <f t="shared" si="41"/>
        <v>0.01966917656425455</v>
      </c>
      <c r="V424" s="324" t="s">
        <v>555</v>
      </c>
      <c r="W424" s="33"/>
      <c r="X424" s="33"/>
      <c r="Y424" s="44"/>
    </row>
    <row r="425" spans="1:25" ht="15" customHeight="1" thickBot="1">
      <c r="A425" s="93">
        <f t="shared" si="29"/>
        <v>274</v>
      </c>
      <c r="E425" s="119" t="s">
        <v>792</v>
      </c>
      <c r="F425" s="33"/>
      <c r="G425" s="33"/>
      <c r="H425" s="33">
        <f>H414/138700</f>
        <v>0.006050927034172099</v>
      </c>
      <c r="I425" s="33">
        <f>I414/138700</f>
        <v>0.005147031429562188</v>
      </c>
      <c r="J425" s="33">
        <f>J414/138700</f>
        <v>0.004635144199401419</v>
      </c>
      <c r="K425" s="33">
        <f>K414/138700</f>
        <v>0.004848512168346918</v>
      </c>
      <c r="L425" s="33">
        <f>L414/138700</f>
        <v>0.004248289910964375</v>
      </c>
      <c r="M425" s="33">
        <f aca="true" t="shared" si="42" ref="M425:U425">M414/138700</f>
        <v>0.003546244857374821</v>
      </c>
      <c r="N425" s="33">
        <f t="shared" si="42"/>
        <v>0.0030126628554627845</v>
      </c>
      <c r="O425" s="33">
        <f t="shared" si="42"/>
        <v>0.002797256647816147</v>
      </c>
      <c r="P425" s="33">
        <f t="shared" si="42"/>
        <v>0.002816885565078493</v>
      </c>
      <c r="Q425" s="33">
        <f t="shared" si="42"/>
        <v>0.0027837149072080006</v>
      </c>
      <c r="R425" s="33">
        <f t="shared" si="42"/>
        <v>0.0027767440938561735</v>
      </c>
      <c r="S425" s="33">
        <f t="shared" si="42"/>
        <v>0.0026652615326172866</v>
      </c>
      <c r="T425" s="33">
        <f t="shared" si="42"/>
        <v>0.0026394291930160953</v>
      </c>
      <c r="U425" s="33">
        <f t="shared" si="42"/>
        <v>0.002650256574489631</v>
      </c>
      <c r="V425" s="33" t="s">
        <v>556</v>
      </c>
      <c r="W425" s="33"/>
      <c r="X425" s="33"/>
      <c r="Y425" s="44"/>
    </row>
    <row r="426" spans="1:25" ht="15" customHeight="1" thickBot="1">
      <c r="A426" s="93">
        <f t="shared" si="29"/>
        <v>273</v>
      </c>
      <c r="E426" s="842" t="s">
        <v>793</v>
      </c>
      <c r="F426" s="324"/>
      <c r="G426" s="324"/>
      <c r="H426" s="888">
        <f aca="true" t="shared" si="43" ref="H426:U426">1/H425</f>
        <v>165.2639330060641</v>
      </c>
      <c r="I426" s="888">
        <f t="shared" si="43"/>
        <v>194.28674832962136</v>
      </c>
      <c r="J426" s="888">
        <f t="shared" si="43"/>
        <v>215.74301833568407</v>
      </c>
      <c r="K426" s="888">
        <f t="shared" si="43"/>
        <v>206.24883784522834</v>
      </c>
      <c r="L426" s="888">
        <f t="shared" si="43"/>
        <v>235.38883196721312</v>
      </c>
      <c r="M426" s="888">
        <f t="shared" si="43"/>
        <v>281.98842443729905</v>
      </c>
      <c r="N426" s="888">
        <f t="shared" si="43"/>
        <v>331.9322632423756</v>
      </c>
      <c r="O426" s="888">
        <f t="shared" si="43"/>
        <v>357.493117687543</v>
      </c>
      <c r="P426" s="888">
        <f t="shared" si="43"/>
        <v>355.001996672213</v>
      </c>
      <c r="Q426" s="888">
        <f t="shared" si="43"/>
        <v>359.232189119171</v>
      </c>
      <c r="R426" s="888">
        <f t="shared" si="43"/>
        <v>360.13401530684837</v>
      </c>
      <c r="S426" s="888">
        <f t="shared" si="43"/>
        <v>375.1977011494253</v>
      </c>
      <c r="T426" s="888">
        <f t="shared" si="43"/>
        <v>378.86979603241133</v>
      </c>
      <c r="U426" s="888">
        <f t="shared" si="43"/>
        <v>377.32195804195806</v>
      </c>
      <c r="V426" s="324" t="s">
        <v>557</v>
      </c>
      <c r="W426" s="33"/>
      <c r="X426" s="33"/>
      <c r="Y426" s="44"/>
    </row>
    <row r="427" spans="1:25" ht="15" customHeight="1" thickBot="1">
      <c r="A427" s="93">
        <f t="shared" si="29"/>
        <v>272</v>
      </c>
      <c r="E427" s="889" t="s">
        <v>558</v>
      </c>
      <c r="F427" s="890"/>
      <c r="G427" s="890"/>
      <c r="H427" s="891">
        <f>(H422*1.102/1.6093)*10^6</f>
        <v>606.3109614893912</v>
      </c>
      <c r="I427" s="891">
        <f aca="true" t="shared" si="44" ref="I427:U427">(I422*1.102/1.6093)*10^6</f>
        <v>515.7394160018897</v>
      </c>
      <c r="J427" s="891">
        <f t="shared" si="44"/>
        <v>464.44763262057165</v>
      </c>
      <c r="K427" s="891">
        <f t="shared" si="44"/>
        <v>485.8273877674761</v>
      </c>
      <c r="L427" s="891">
        <f t="shared" si="44"/>
        <v>425.6843168089721</v>
      </c>
      <c r="M427" s="891">
        <f t="shared" si="44"/>
        <v>355.3384658266535</v>
      </c>
      <c r="N427" s="891">
        <f t="shared" si="44"/>
        <v>301.87283737242024</v>
      </c>
      <c r="O427" s="891">
        <f t="shared" si="44"/>
        <v>280.2888479884059</v>
      </c>
      <c r="P427" s="891">
        <f t="shared" si="44"/>
        <v>282.2556916854324</v>
      </c>
      <c r="Q427" s="891">
        <f t="shared" si="44"/>
        <v>278.93194751315684</v>
      </c>
      <c r="R427" s="891">
        <f t="shared" si="44"/>
        <v>278.2334627153993</v>
      </c>
      <c r="S427" s="891">
        <f t="shared" si="44"/>
        <v>267.0627613481009</v>
      </c>
      <c r="T427" s="891">
        <f t="shared" si="44"/>
        <v>264.4743264566096</v>
      </c>
      <c r="U427" s="891">
        <f t="shared" si="44"/>
        <v>265.55924452528865</v>
      </c>
      <c r="V427" s="890" t="s">
        <v>558</v>
      </c>
      <c r="W427" s="117"/>
      <c r="X427" s="117"/>
      <c r="Y427" s="118"/>
    </row>
    <row r="428" ht="15" customHeight="1" thickBot="1">
      <c r="A428" s="93">
        <f t="shared" si="29"/>
        <v>271</v>
      </c>
    </row>
    <row r="429" spans="1:5" ht="15" customHeight="1" thickBot="1">
      <c r="A429" s="93">
        <f t="shared" si="29"/>
        <v>270</v>
      </c>
      <c r="E429" t="s">
        <v>559</v>
      </c>
    </row>
    <row r="430" spans="1:5" ht="15" customHeight="1" thickBot="1">
      <c r="A430" s="93">
        <f t="shared" si="29"/>
        <v>269</v>
      </c>
      <c r="E430" t="s">
        <v>560</v>
      </c>
    </row>
    <row r="431" spans="1:10" ht="15" customHeight="1" thickBot="1">
      <c r="A431" s="93">
        <f t="shared" si="29"/>
        <v>268</v>
      </c>
      <c r="E431" s="892" t="s">
        <v>561</v>
      </c>
      <c r="F431" s="893" t="s">
        <v>796</v>
      </c>
      <c r="G431" s="893" t="s">
        <v>562</v>
      </c>
      <c r="H431" s="893" t="s">
        <v>563</v>
      </c>
      <c r="I431" s="1036" t="s">
        <v>564</v>
      </c>
      <c r="J431" s="1036"/>
    </row>
    <row r="432" spans="1:10" ht="15" customHeight="1" thickBot="1">
      <c r="A432" s="93">
        <f t="shared" si="29"/>
        <v>267</v>
      </c>
      <c r="E432" s="894"/>
      <c r="F432" s="894"/>
      <c r="G432" s="895" t="s">
        <v>565</v>
      </c>
      <c r="H432" s="895"/>
      <c r="I432" s="895" t="s">
        <v>834</v>
      </c>
      <c r="J432" s="895" t="s">
        <v>835</v>
      </c>
    </row>
    <row r="433" spans="1:10" ht="15" customHeight="1" thickBot="1">
      <c r="A433" s="93">
        <f t="shared" si="29"/>
        <v>266</v>
      </c>
      <c r="E433" s="894" t="s">
        <v>566</v>
      </c>
      <c r="F433" s="894">
        <v>1972</v>
      </c>
      <c r="G433" s="896">
        <v>1693</v>
      </c>
      <c r="H433" s="894">
        <v>496</v>
      </c>
      <c r="I433" s="894">
        <f>H433/G433</f>
        <v>0.29297105729474304</v>
      </c>
      <c r="J433" s="894">
        <f>1/I433</f>
        <v>3.4133064516129035</v>
      </c>
    </row>
    <row r="434" spans="1:10" ht="15" customHeight="1" thickBot="1">
      <c r="A434" s="93">
        <f t="shared" si="29"/>
        <v>265</v>
      </c>
      <c r="E434" s="894" t="s">
        <v>567</v>
      </c>
      <c r="F434" s="894">
        <v>1977</v>
      </c>
      <c r="G434" s="894">
        <v>2045</v>
      </c>
      <c r="H434" s="894">
        <v>636</v>
      </c>
      <c r="I434" s="894">
        <f>H434/G434</f>
        <v>0.3110024449877751</v>
      </c>
      <c r="J434" s="894">
        <f>1/I434</f>
        <v>3.2154088050314464</v>
      </c>
    </row>
    <row r="435" spans="1:10" ht="15" customHeight="1" thickBot="1">
      <c r="A435" s="93">
        <f t="shared" si="29"/>
        <v>264</v>
      </c>
      <c r="E435" s="894" t="s">
        <v>568</v>
      </c>
      <c r="F435" s="894">
        <v>1976</v>
      </c>
      <c r="G435" s="894">
        <v>1631</v>
      </c>
      <c r="H435" s="894">
        <v>396</v>
      </c>
      <c r="I435" s="894">
        <f>H435/G435</f>
        <v>0.2427958307786634</v>
      </c>
      <c r="J435" s="894">
        <f>1/I435</f>
        <v>4.1186868686868685</v>
      </c>
    </row>
    <row r="436" spans="1:10" ht="15" customHeight="1" thickBot="1">
      <c r="A436" s="93">
        <f t="shared" si="29"/>
        <v>263</v>
      </c>
      <c r="E436" s="894" t="s">
        <v>569</v>
      </c>
      <c r="F436" s="894" t="s">
        <v>570</v>
      </c>
      <c r="G436" s="894">
        <v>1357</v>
      </c>
      <c r="H436" s="894">
        <v>313</v>
      </c>
      <c r="I436" s="894">
        <f>H436/G436</f>
        <v>0.23065585851142226</v>
      </c>
      <c r="J436" s="894">
        <f>1/I436</f>
        <v>4.335463258785943</v>
      </c>
    </row>
    <row r="437" spans="1:5" ht="15" customHeight="1" thickBot="1">
      <c r="A437" s="93">
        <f t="shared" si="29"/>
        <v>262</v>
      </c>
      <c r="E437" t="s">
        <v>900</v>
      </c>
    </row>
    <row r="438" spans="1:13" ht="15" customHeight="1" thickBot="1">
      <c r="A438" s="93">
        <f t="shared" si="29"/>
        <v>261</v>
      </c>
      <c r="K438" s="818" t="s">
        <v>797</v>
      </c>
      <c r="L438" s="535" t="s">
        <v>563</v>
      </c>
      <c r="M438" s="320" t="s">
        <v>564</v>
      </c>
    </row>
    <row r="439" spans="1:12" ht="15" customHeight="1" thickBot="1">
      <c r="A439" s="93">
        <f t="shared" si="29"/>
        <v>260</v>
      </c>
      <c r="K439" s="550" t="s">
        <v>901</v>
      </c>
      <c r="L439" s="552"/>
    </row>
    <row r="440" spans="1:12" ht="15" customHeight="1" thickBot="1">
      <c r="A440" s="93">
        <f t="shared" si="29"/>
        <v>259</v>
      </c>
      <c r="J440" s="320" t="s">
        <v>798</v>
      </c>
      <c r="K440" s="551" t="s">
        <v>902</v>
      </c>
      <c r="L440" s="553" t="s">
        <v>903</v>
      </c>
    </row>
    <row r="441" spans="1:13" ht="15" customHeight="1" thickBot="1">
      <c r="A441" s="93">
        <f t="shared" si="29"/>
        <v>258</v>
      </c>
      <c r="J441" s="320" t="s">
        <v>799</v>
      </c>
      <c r="K441" s="116">
        <v>110</v>
      </c>
      <c r="L441" s="554">
        <v>400</v>
      </c>
      <c r="M441">
        <f>L441/K441</f>
        <v>3.6363636363636362</v>
      </c>
    </row>
    <row r="442" spans="1:5" ht="15" customHeight="1" thickBot="1">
      <c r="A442" s="93">
        <f t="shared" si="29"/>
        <v>257</v>
      </c>
      <c r="E442" s="203" t="s">
        <v>547</v>
      </c>
    </row>
    <row r="443" spans="1:5" ht="15" customHeight="1" thickBot="1">
      <c r="A443" s="93">
        <f t="shared" si="29"/>
        <v>256</v>
      </c>
      <c r="E443" t="s">
        <v>904</v>
      </c>
    </row>
    <row r="444" ht="15" customHeight="1" thickBot="1">
      <c r="A444" s="93">
        <f t="shared" si="29"/>
        <v>255</v>
      </c>
    </row>
    <row r="445" spans="1:13" ht="15" customHeight="1" thickBot="1">
      <c r="A445" s="93">
        <f t="shared" si="29"/>
        <v>254</v>
      </c>
      <c r="E445" s="1038" t="s">
        <v>274</v>
      </c>
      <c r="F445" s="1039"/>
      <c r="G445" s="1039"/>
      <c r="H445" s="1039"/>
      <c r="I445" s="1039"/>
      <c r="J445" s="1039"/>
      <c r="K445" s="1039"/>
      <c r="L445" s="1039"/>
      <c r="M445" s="1039"/>
    </row>
    <row r="446" spans="1:13" ht="15" customHeight="1" thickBot="1">
      <c r="A446" s="93">
        <f t="shared" si="29"/>
        <v>253</v>
      </c>
      <c r="E446" s="1026"/>
      <c r="F446" s="46"/>
      <c r="G446" s="46"/>
      <c r="H446" s="46"/>
      <c r="I446" s="46"/>
      <c r="J446" s="46"/>
      <c r="K446" s="46"/>
      <c r="L446" s="46"/>
      <c r="M446" s="46"/>
    </row>
    <row r="447" ht="15" customHeight="1" thickBot="1">
      <c r="A447" s="93">
        <f t="shared" si="29"/>
        <v>252</v>
      </c>
    </row>
    <row r="448" ht="15" customHeight="1" thickBot="1">
      <c r="A448" s="93">
        <f t="shared" si="29"/>
        <v>251</v>
      </c>
    </row>
    <row r="449" ht="15" customHeight="1" thickBot="1">
      <c r="A449" s="93">
        <f t="shared" si="29"/>
        <v>250</v>
      </c>
    </row>
    <row r="450" ht="15" customHeight="1" thickBot="1">
      <c r="A450" s="93">
        <f t="shared" si="29"/>
        <v>249</v>
      </c>
    </row>
    <row r="451" ht="15" customHeight="1" thickBot="1">
      <c r="A451" s="93">
        <f t="shared" si="29"/>
        <v>248</v>
      </c>
    </row>
    <row r="452" ht="15" customHeight="1" thickBot="1">
      <c r="A452" s="93">
        <f t="shared" si="29"/>
        <v>247</v>
      </c>
    </row>
    <row r="453" ht="15" customHeight="1" thickBot="1">
      <c r="A453" s="93">
        <f t="shared" si="29"/>
        <v>246</v>
      </c>
    </row>
    <row r="454" ht="15" customHeight="1" thickBot="1">
      <c r="A454" s="93">
        <f t="shared" si="29"/>
        <v>245</v>
      </c>
    </row>
    <row r="455" ht="15" customHeight="1" thickBot="1">
      <c r="A455" s="93">
        <f aca="true" t="shared" si="45" ref="A455:A518">IF(ISTEXT(D456),1,1+A456)</f>
        <v>244</v>
      </c>
    </row>
    <row r="456" ht="15" customHeight="1" thickBot="1">
      <c r="A456" s="93">
        <f t="shared" si="45"/>
        <v>243</v>
      </c>
    </row>
    <row r="457" ht="15" customHeight="1" thickBot="1">
      <c r="A457" s="93">
        <f t="shared" si="45"/>
        <v>242</v>
      </c>
    </row>
    <row r="458" ht="15" customHeight="1" thickBot="1">
      <c r="A458" s="93">
        <f t="shared" si="45"/>
        <v>241</v>
      </c>
    </row>
    <row r="459" ht="15" customHeight="1" thickBot="1">
      <c r="A459" s="93">
        <f t="shared" si="45"/>
        <v>240</v>
      </c>
    </row>
    <row r="460" ht="15" customHeight="1" thickBot="1">
      <c r="A460" s="93">
        <f t="shared" si="45"/>
        <v>239</v>
      </c>
    </row>
    <row r="461" ht="15" customHeight="1" thickBot="1">
      <c r="A461" s="93">
        <f t="shared" si="45"/>
        <v>238</v>
      </c>
    </row>
    <row r="462" ht="15" customHeight="1" thickBot="1">
      <c r="A462" s="93">
        <f t="shared" si="45"/>
        <v>237</v>
      </c>
    </row>
    <row r="463" ht="15" customHeight="1" thickBot="1">
      <c r="A463" s="93">
        <f t="shared" si="45"/>
        <v>236</v>
      </c>
    </row>
    <row r="464" ht="15" customHeight="1" thickBot="1">
      <c r="A464" s="93">
        <f t="shared" si="45"/>
        <v>235</v>
      </c>
    </row>
    <row r="465" ht="15" customHeight="1" thickBot="1">
      <c r="A465" s="93">
        <f t="shared" si="45"/>
        <v>234</v>
      </c>
    </row>
    <row r="466" ht="15" customHeight="1" thickBot="1">
      <c r="A466" s="93">
        <f t="shared" si="45"/>
        <v>233</v>
      </c>
    </row>
    <row r="467" ht="15" customHeight="1" thickBot="1">
      <c r="A467" s="93">
        <f t="shared" si="45"/>
        <v>232</v>
      </c>
    </row>
    <row r="468" ht="15" customHeight="1" thickBot="1">
      <c r="A468" s="93">
        <f t="shared" si="45"/>
        <v>231</v>
      </c>
    </row>
    <row r="469" ht="15" customHeight="1" thickBot="1">
      <c r="A469" s="93">
        <f t="shared" si="45"/>
        <v>230</v>
      </c>
    </row>
    <row r="470" ht="15" customHeight="1" thickBot="1">
      <c r="A470" s="93">
        <f t="shared" si="45"/>
        <v>229</v>
      </c>
    </row>
    <row r="471" ht="15" customHeight="1" thickBot="1">
      <c r="A471" s="93">
        <f t="shared" si="45"/>
        <v>228</v>
      </c>
    </row>
    <row r="472" ht="15" customHeight="1" thickBot="1">
      <c r="A472" s="93">
        <f t="shared" si="45"/>
        <v>227</v>
      </c>
    </row>
    <row r="473" ht="15" customHeight="1" thickBot="1">
      <c r="A473" s="93">
        <f t="shared" si="45"/>
        <v>226</v>
      </c>
    </row>
    <row r="474" ht="15" customHeight="1" thickBot="1">
      <c r="A474" s="93">
        <f t="shared" si="45"/>
        <v>225</v>
      </c>
    </row>
    <row r="475" ht="15" customHeight="1" thickBot="1">
      <c r="A475" s="93">
        <f t="shared" si="45"/>
        <v>224</v>
      </c>
    </row>
    <row r="476" ht="15" customHeight="1" thickBot="1">
      <c r="A476" s="93">
        <f t="shared" si="45"/>
        <v>223</v>
      </c>
    </row>
    <row r="477" ht="15" customHeight="1" thickBot="1">
      <c r="A477" s="93">
        <f t="shared" si="45"/>
        <v>222</v>
      </c>
    </row>
    <row r="478" ht="15" customHeight="1" thickBot="1">
      <c r="A478" s="93">
        <f t="shared" si="45"/>
        <v>221</v>
      </c>
    </row>
    <row r="479" ht="15" customHeight="1" thickBot="1">
      <c r="A479" s="93">
        <f t="shared" si="45"/>
        <v>220</v>
      </c>
    </row>
    <row r="480" ht="15" customHeight="1" thickBot="1">
      <c r="A480" s="93">
        <f t="shared" si="45"/>
        <v>219</v>
      </c>
    </row>
    <row r="481" ht="15" customHeight="1" thickBot="1">
      <c r="A481" s="93">
        <f t="shared" si="45"/>
        <v>218</v>
      </c>
    </row>
    <row r="482" ht="15" customHeight="1" thickBot="1">
      <c r="A482" s="93">
        <f t="shared" si="45"/>
        <v>217</v>
      </c>
    </row>
    <row r="483" ht="15" customHeight="1" thickBot="1">
      <c r="A483" s="93">
        <f t="shared" si="45"/>
        <v>216</v>
      </c>
    </row>
    <row r="484" ht="15" customHeight="1" thickBot="1">
      <c r="A484" s="93">
        <f t="shared" si="45"/>
        <v>215</v>
      </c>
    </row>
    <row r="485" ht="15" customHeight="1" thickBot="1">
      <c r="A485" s="93">
        <f t="shared" si="45"/>
        <v>214</v>
      </c>
    </row>
    <row r="486" ht="15" customHeight="1" thickBot="1">
      <c r="A486" s="93">
        <f t="shared" si="45"/>
        <v>213</v>
      </c>
    </row>
    <row r="487" ht="15" customHeight="1" thickBot="1">
      <c r="A487" s="93">
        <f t="shared" si="45"/>
        <v>212</v>
      </c>
    </row>
    <row r="488" ht="15" customHeight="1" thickBot="1">
      <c r="A488" s="93">
        <f t="shared" si="45"/>
        <v>211</v>
      </c>
    </row>
    <row r="489" ht="15" customHeight="1" thickBot="1">
      <c r="A489" s="93">
        <f t="shared" si="45"/>
        <v>210</v>
      </c>
    </row>
    <row r="490" ht="15" customHeight="1" thickBot="1">
      <c r="A490" s="93">
        <f t="shared" si="45"/>
        <v>209</v>
      </c>
    </row>
    <row r="491" ht="15" customHeight="1" thickBot="1">
      <c r="A491" s="93">
        <f t="shared" si="45"/>
        <v>208</v>
      </c>
    </row>
    <row r="492" ht="15" customHeight="1" thickBot="1">
      <c r="A492" s="93">
        <f t="shared" si="45"/>
        <v>207</v>
      </c>
    </row>
    <row r="493" ht="15" customHeight="1" thickBot="1">
      <c r="A493" s="93">
        <f t="shared" si="45"/>
        <v>206</v>
      </c>
    </row>
    <row r="494" ht="15" customHeight="1" thickBot="1">
      <c r="A494" s="93">
        <f t="shared" si="45"/>
        <v>205</v>
      </c>
    </row>
    <row r="495" ht="15" customHeight="1" thickBot="1">
      <c r="A495" s="93">
        <f t="shared" si="45"/>
        <v>204</v>
      </c>
    </row>
    <row r="496" ht="15" customHeight="1" thickBot="1">
      <c r="A496" s="93">
        <f t="shared" si="45"/>
        <v>203</v>
      </c>
    </row>
    <row r="497" ht="15" customHeight="1" thickBot="1">
      <c r="A497" s="93">
        <f t="shared" si="45"/>
        <v>202</v>
      </c>
    </row>
    <row r="498" ht="15" customHeight="1" thickBot="1">
      <c r="A498" s="93">
        <f t="shared" si="45"/>
        <v>201</v>
      </c>
    </row>
    <row r="499" ht="15" customHeight="1" thickBot="1">
      <c r="A499" s="93">
        <f t="shared" si="45"/>
        <v>200</v>
      </c>
    </row>
    <row r="500" ht="15" customHeight="1" thickBot="1">
      <c r="A500" s="93">
        <f t="shared" si="45"/>
        <v>199</v>
      </c>
    </row>
    <row r="501" ht="15" customHeight="1" thickBot="1">
      <c r="A501" s="93">
        <f t="shared" si="45"/>
        <v>198</v>
      </c>
    </row>
    <row r="502" ht="15" customHeight="1" thickBot="1">
      <c r="A502" s="93">
        <f t="shared" si="45"/>
        <v>197</v>
      </c>
    </row>
    <row r="503" ht="15" customHeight="1" thickBot="1">
      <c r="A503" s="93">
        <f t="shared" si="45"/>
        <v>196</v>
      </c>
    </row>
    <row r="504" ht="15" customHeight="1" thickBot="1">
      <c r="A504" s="93">
        <f t="shared" si="45"/>
        <v>195</v>
      </c>
    </row>
    <row r="505" ht="15" customHeight="1" thickBot="1">
      <c r="A505" s="93">
        <f t="shared" si="45"/>
        <v>194</v>
      </c>
    </row>
    <row r="506" ht="15" customHeight="1" thickBot="1">
      <c r="A506" s="93">
        <f t="shared" si="45"/>
        <v>193</v>
      </c>
    </row>
    <row r="507" ht="15" customHeight="1" thickBot="1">
      <c r="A507" s="93">
        <f t="shared" si="45"/>
        <v>192</v>
      </c>
    </row>
    <row r="508" ht="15" customHeight="1" thickBot="1">
      <c r="A508" s="93">
        <f t="shared" si="45"/>
        <v>191</v>
      </c>
    </row>
    <row r="509" ht="15" customHeight="1" thickBot="1">
      <c r="A509" s="93">
        <f t="shared" si="45"/>
        <v>190</v>
      </c>
    </row>
    <row r="510" ht="15" customHeight="1" thickBot="1">
      <c r="A510" s="93">
        <f t="shared" si="45"/>
        <v>189</v>
      </c>
    </row>
    <row r="511" ht="15" customHeight="1" thickBot="1">
      <c r="A511" s="93">
        <f t="shared" si="45"/>
        <v>188</v>
      </c>
    </row>
    <row r="512" ht="15" customHeight="1" thickBot="1">
      <c r="A512" s="93">
        <f t="shared" si="45"/>
        <v>187</v>
      </c>
    </row>
    <row r="513" ht="15" customHeight="1" thickBot="1">
      <c r="A513" s="93">
        <f t="shared" si="45"/>
        <v>186</v>
      </c>
    </row>
    <row r="514" ht="15" customHeight="1" thickBot="1">
      <c r="A514" s="93">
        <f t="shared" si="45"/>
        <v>185</v>
      </c>
    </row>
    <row r="515" ht="15" customHeight="1" thickBot="1">
      <c r="A515" s="93">
        <f t="shared" si="45"/>
        <v>184</v>
      </c>
    </row>
    <row r="516" ht="15" customHeight="1" thickBot="1">
      <c r="A516" s="93">
        <f t="shared" si="45"/>
        <v>183</v>
      </c>
    </row>
    <row r="517" ht="15" customHeight="1" thickBot="1">
      <c r="A517" s="93">
        <f t="shared" si="45"/>
        <v>182</v>
      </c>
    </row>
    <row r="518" ht="15" customHeight="1" thickBot="1">
      <c r="A518" s="93">
        <f t="shared" si="45"/>
        <v>181</v>
      </c>
    </row>
    <row r="519" ht="15" customHeight="1" thickBot="1">
      <c r="A519" s="93">
        <f aca="true" t="shared" si="46" ref="A519:A582">IF(ISTEXT(D520),1,1+A520)</f>
        <v>180</v>
      </c>
    </row>
    <row r="520" ht="15" customHeight="1" thickBot="1">
      <c r="A520" s="93">
        <f t="shared" si="46"/>
        <v>179</v>
      </c>
    </row>
    <row r="521" ht="15" customHeight="1" thickBot="1">
      <c r="A521" s="93">
        <f t="shared" si="46"/>
        <v>178</v>
      </c>
    </row>
    <row r="522" ht="15" customHeight="1" thickBot="1">
      <c r="A522" s="93">
        <f t="shared" si="46"/>
        <v>177</v>
      </c>
    </row>
    <row r="523" ht="15" customHeight="1" thickBot="1">
      <c r="A523" s="93">
        <f t="shared" si="46"/>
        <v>176</v>
      </c>
    </row>
    <row r="524" ht="15" customHeight="1" thickBot="1">
      <c r="A524" s="93">
        <f t="shared" si="46"/>
        <v>175</v>
      </c>
    </row>
    <row r="525" ht="15" customHeight="1" thickBot="1">
      <c r="A525" s="93">
        <f t="shared" si="46"/>
        <v>174</v>
      </c>
    </row>
    <row r="526" ht="15" customHeight="1" thickBot="1">
      <c r="A526" s="93">
        <f t="shared" si="46"/>
        <v>173</v>
      </c>
    </row>
    <row r="527" ht="15" customHeight="1" thickBot="1">
      <c r="A527" s="93">
        <f t="shared" si="46"/>
        <v>172</v>
      </c>
    </row>
    <row r="528" ht="15" customHeight="1" thickBot="1">
      <c r="A528" s="93">
        <f t="shared" si="46"/>
        <v>171</v>
      </c>
    </row>
    <row r="529" ht="15" customHeight="1" thickBot="1">
      <c r="A529" s="93">
        <f t="shared" si="46"/>
        <v>170</v>
      </c>
    </row>
    <row r="530" ht="15" customHeight="1" thickBot="1">
      <c r="A530" s="93">
        <f t="shared" si="46"/>
        <v>169</v>
      </c>
    </row>
    <row r="531" ht="15" customHeight="1" thickBot="1">
      <c r="A531" s="93">
        <f t="shared" si="46"/>
        <v>168</v>
      </c>
    </row>
    <row r="532" ht="15" customHeight="1" thickBot="1">
      <c r="A532" s="93">
        <f t="shared" si="46"/>
        <v>167</v>
      </c>
    </row>
    <row r="533" ht="15" customHeight="1" thickBot="1">
      <c r="A533" s="93">
        <f t="shared" si="46"/>
        <v>166</v>
      </c>
    </row>
    <row r="534" ht="15" customHeight="1" thickBot="1">
      <c r="A534" s="93">
        <f t="shared" si="46"/>
        <v>165</v>
      </c>
    </row>
    <row r="535" ht="15" customHeight="1" thickBot="1">
      <c r="A535" s="93">
        <f t="shared" si="46"/>
        <v>164</v>
      </c>
    </row>
    <row r="536" ht="15" customHeight="1" thickBot="1">
      <c r="A536" s="93">
        <f t="shared" si="46"/>
        <v>163</v>
      </c>
    </row>
    <row r="537" ht="15" customHeight="1" thickBot="1">
      <c r="A537" s="93">
        <f t="shared" si="46"/>
        <v>162</v>
      </c>
    </row>
    <row r="538" ht="15" customHeight="1" thickBot="1">
      <c r="A538" s="93">
        <f t="shared" si="46"/>
        <v>161</v>
      </c>
    </row>
    <row r="539" ht="15" customHeight="1" thickBot="1">
      <c r="A539" s="93">
        <f t="shared" si="46"/>
        <v>160</v>
      </c>
    </row>
    <row r="540" ht="15" customHeight="1" thickBot="1">
      <c r="A540" s="93">
        <f t="shared" si="46"/>
        <v>159</v>
      </c>
    </row>
    <row r="541" ht="15" customHeight="1" thickBot="1">
      <c r="A541" s="93">
        <f t="shared" si="46"/>
        <v>158</v>
      </c>
    </row>
    <row r="542" ht="15" customHeight="1" thickBot="1">
      <c r="A542" s="93">
        <f t="shared" si="46"/>
        <v>157</v>
      </c>
    </row>
    <row r="543" ht="15" customHeight="1" thickBot="1">
      <c r="A543" s="93">
        <f t="shared" si="46"/>
        <v>156</v>
      </c>
    </row>
    <row r="544" ht="15" customHeight="1" thickBot="1">
      <c r="A544" s="93">
        <f t="shared" si="46"/>
        <v>155</v>
      </c>
    </row>
    <row r="545" ht="15" customHeight="1" thickBot="1">
      <c r="A545" s="93">
        <f t="shared" si="46"/>
        <v>154</v>
      </c>
    </row>
    <row r="546" ht="15" customHeight="1" thickBot="1">
      <c r="A546" s="93">
        <f t="shared" si="46"/>
        <v>153</v>
      </c>
    </row>
    <row r="547" ht="15" customHeight="1" thickBot="1">
      <c r="A547" s="93">
        <f t="shared" si="46"/>
        <v>152</v>
      </c>
    </row>
    <row r="548" ht="15" customHeight="1" thickBot="1">
      <c r="A548" s="93">
        <f t="shared" si="46"/>
        <v>151</v>
      </c>
    </row>
    <row r="549" ht="15" customHeight="1" thickBot="1">
      <c r="A549" s="93">
        <f t="shared" si="46"/>
        <v>150</v>
      </c>
    </row>
    <row r="550" ht="15" customHeight="1" thickBot="1">
      <c r="A550" s="93">
        <f t="shared" si="46"/>
        <v>149</v>
      </c>
    </row>
    <row r="551" ht="15" customHeight="1" thickBot="1">
      <c r="A551" s="93">
        <f t="shared" si="46"/>
        <v>148</v>
      </c>
    </row>
    <row r="552" ht="15" customHeight="1" thickBot="1">
      <c r="A552" s="93">
        <f t="shared" si="46"/>
        <v>147</v>
      </c>
    </row>
    <row r="553" ht="15" customHeight="1" thickBot="1">
      <c r="A553" s="93">
        <f t="shared" si="46"/>
        <v>146</v>
      </c>
    </row>
    <row r="554" ht="15" customHeight="1" thickBot="1">
      <c r="A554" s="93">
        <f t="shared" si="46"/>
        <v>145</v>
      </c>
    </row>
    <row r="555" ht="15" customHeight="1" thickBot="1">
      <c r="A555" s="93">
        <f t="shared" si="46"/>
        <v>144</v>
      </c>
    </row>
    <row r="556" ht="15" customHeight="1" thickBot="1">
      <c r="A556" s="93">
        <f t="shared" si="46"/>
        <v>143</v>
      </c>
    </row>
    <row r="557" ht="15" customHeight="1" thickBot="1">
      <c r="A557" s="93">
        <f t="shared" si="46"/>
        <v>142</v>
      </c>
    </row>
    <row r="558" ht="15" customHeight="1" thickBot="1">
      <c r="A558" s="93">
        <f t="shared" si="46"/>
        <v>141</v>
      </c>
    </row>
    <row r="559" ht="15" customHeight="1" thickBot="1">
      <c r="A559" s="93">
        <f t="shared" si="46"/>
        <v>140</v>
      </c>
    </row>
    <row r="560" ht="15" customHeight="1" thickBot="1">
      <c r="A560" s="93">
        <f t="shared" si="46"/>
        <v>139</v>
      </c>
    </row>
    <row r="561" ht="15" customHeight="1" thickBot="1">
      <c r="A561" s="93">
        <f t="shared" si="46"/>
        <v>138</v>
      </c>
    </row>
    <row r="562" ht="15" customHeight="1" thickBot="1">
      <c r="A562" s="93">
        <f t="shared" si="46"/>
        <v>137</v>
      </c>
    </row>
    <row r="563" ht="15" customHeight="1" thickBot="1">
      <c r="A563" s="93">
        <f t="shared" si="46"/>
        <v>136</v>
      </c>
    </row>
    <row r="564" ht="15" customHeight="1" thickBot="1">
      <c r="A564" s="93">
        <f t="shared" si="46"/>
        <v>135</v>
      </c>
    </row>
    <row r="565" ht="15" customHeight="1" thickBot="1">
      <c r="A565" s="93">
        <f t="shared" si="46"/>
        <v>134</v>
      </c>
    </row>
    <row r="566" ht="15" customHeight="1" thickBot="1">
      <c r="A566" s="93">
        <f t="shared" si="46"/>
        <v>133</v>
      </c>
    </row>
    <row r="567" ht="15" customHeight="1" thickBot="1">
      <c r="A567" s="93">
        <f t="shared" si="46"/>
        <v>132</v>
      </c>
    </row>
    <row r="568" ht="15" customHeight="1" thickBot="1">
      <c r="A568" s="93">
        <f t="shared" si="46"/>
        <v>131</v>
      </c>
    </row>
    <row r="569" ht="15" customHeight="1" thickBot="1">
      <c r="A569" s="93">
        <f t="shared" si="46"/>
        <v>130</v>
      </c>
    </row>
    <row r="570" ht="15" customHeight="1" thickBot="1">
      <c r="A570" s="93">
        <f t="shared" si="46"/>
        <v>129</v>
      </c>
    </row>
    <row r="571" ht="15" customHeight="1" thickBot="1">
      <c r="A571" s="93">
        <f t="shared" si="46"/>
        <v>128</v>
      </c>
    </row>
    <row r="572" ht="15" customHeight="1" thickBot="1">
      <c r="A572" s="93">
        <f t="shared" si="46"/>
        <v>127</v>
      </c>
    </row>
    <row r="573" ht="15" customHeight="1" thickBot="1">
      <c r="A573" s="93">
        <f t="shared" si="46"/>
        <v>126</v>
      </c>
    </row>
    <row r="574" ht="15" customHeight="1" thickBot="1">
      <c r="A574" s="93">
        <f t="shared" si="46"/>
        <v>125</v>
      </c>
    </row>
    <row r="575" ht="15" customHeight="1" thickBot="1">
      <c r="A575" s="93">
        <f t="shared" si="46"/>
        <v>124</v>
      </c>
    </row>
    <row r="576" ht="15" customHeight="1" thickBot="1">
      <c r="A576" s="93">
        <f t="shared" si="46"/>
        <v>123</v>
      </c>
    </row>
    <row r="577" ht="15" customHeight="1" thickBot="1">
      <c r="A577" s="93">
        <f t="shared" si="46"/>
        <v>122</v>
      </c>
    </row>
    <row r="578" ht="15" customHeight="1" thickBot="1">
      <c r="A578" s="93">
        <f t="shared" si="46"/>
        <v>121</v>
      </c>
    </row>
    <row r="579" ht="15" customHeight="1" thickBot="1">
      <c r="A579" s="93">
        <f t="shared" si="46"/>
        <v>120</v>
      </c>
    </row>
    <row r="580" ht="15" customHeight="1" thickBot="1">
      <c r="A580" s="93">
        <f t="shared" si="46"/>
        <v>119</v>
      </c>
    </row>
    <row r="581" ht="15" customHeight="1" thickBot="1">
      <c r="A581" s="93">
        <f t="shared" si="46"/>
        <v>118</v>
      </c>
    </row>
    <row r="582" ht="15" customHeight="1" thickBot="1">
      <c r="A582" s="93">
        <f t="shared" si="46"/>
        <v>117</v>
      </c>
    </row>
    <row r="583" ht="15" customHeight="1" thickBot="1">
      <c r="A583" s="93">
        <f aca="true" t="shared" si="47" ref="A583:A600">IF(ISTEXT(D584),1,1+A584)</f>
        <v>116</v>
      </c>
    </row>
    <row r="584" ht="15" customHeight="1" thickBot="1">
      <c r="A584" s="93">
        <f t="shared" si="47"/>
        <v>115</v>
      </c>
    </row>
    <row r="585" ht="15" customHeight="1" thickBot="1">
      <c r="A585" s="93">
        <f t="shared" si="47"/>
        <v>114</v>
      </c>
    </row>
    <row r="586" ht="15" customHeight="1" thickBot="1">
      <c r="A586" s="93">
        <f t="shared" si="47"/>
        <v>113</v>
      </c>
    </row>
    <row r="587" ht="15" customHeight="1" thickBot="1">
      <c r="A587" s="93">
        <f t="shared" si="47"/>
        <v>112</v>
      </c>
    </row>
    <row r="588" ht="15" customHeight="1" thickBot="1">
      <c r="A588" s="93">
        <f t="shared" si="47"/>
        <v>111</v>
      </c>
    </row>
    <row r="589" ht="15" customHeight="1" thickBot="1">
      <c r="A589" s="93">
        <f t="shared" si="47"/>
        <v>110</v>
      </c>
    </row>
    <row r="590" ht="15" customHeight="1" thickBot="1">
      <c r="A590" s="93">
        <f t="shared" si="47"/>
        <v>109</v>
      </c>
    </row>
    <row r="591" ht="15" customHeight="1" thickBot="1">
      <c r="A591" s="93">
        <f t="shared" si="47"/>
        <v>108</v>
      </c>
    </row>
    <row r="592" ht="15" customHeight="1" thickBot="1">
      <c r="A592" s="93">
        <f t="shared" si="47"/>
        <v>107</v>
      </c>
    </row>
    <row r="593" ht="15" customHeight="1" thickBot="1">
      <c r="A593" s="93">
        <f t="shared" si="47"/>
        <v>106</v>
      </c>
    </row>
    <row r="594" ht="15" customHeight="1" thickBot="1">
      <c r="A594" s="93">
        <f t="shared" si="47"/>
        <v>105</v>
      </c>
    </row>
    <row r="595" ht="15" customHeight="1" thickBot="1">
      <c r="A595" s="93">
        <f t="shared" si="47"/>
        <v>104</v>
      </c>
    </row>
    <row r="596" ht="15" customHeight="1" thickBot="1">
      <c r="A596" s="93">
        <f t="shared" si="47"/>
        <v>103</v>
      </c>
    </row>
    <row r="597" ht="15" customHeight="1" thickBot="1">
      <c r="A597" s="93">
        <f t="shared" si="47"/>
        <v>102</v>
      </c>
    </row>
    <row r="598" ht="15" customHeight="1" thickBot="1">
      <c r="A598" s="93">
        <f t="shared" si="47"/>
        <v>101</v>
      </c>
    </row>
    <row r="599" ht="15" customHeight="1" thickBot="1">
      <c r="A599" s="93">
        <f t="shared" si="47"/>
        <v>100</v>
      </c>
    </row>
    <row r="600" ht="15" customHeight="1" thickBot="1">
      <c r="A600" s="93">
        <f t="shared" si="47"/>
        <v>99</v>
      </c>
    </row>
    <row r="601" ht="15" customHeight="1" thickBot="1">
      <c r="A601" s="93">
        <f aca="true" t="shared" si="48" ref="A601:A614">IF(ISTEXT(D602),1,1+A602)</f>
        <v>98</v>
      </c>
    </row>
    <row r="602" ht="15" customHeight="1" thickBot="1">
      <c r="A602" s="93">
        <f t="shared" si="48"/>
        <v>97</v>
      </c>
    </row>
    <row r="603" ht="15" customHeight="1" thickBot="1">
      <c r="A603" s="93">
        <f t="shared" si="48"/>
        <v>96</v>
      </c>
    </row>
    <row r="604" ht="15" customHeight="1" thickBot="1">
      <c r="A604" s="93">
        <f t="shared" si="48"/>
        <v>95</v>
      </c>
    </row>
    <row r="605" ht="15" customHeight="1" thickBot="1">
      <c r="A605" s="93">
        <f t="shared" si="48"/>
        <v>94</v>
      </c>
    </row>
    <row r="606" ht="15" customHeight="1" thickBot="1">
      <c r="A606" s="93">
        <f t="shared" si="48"/>
        <v>93</v>
      </c>
    </row>
    <row r="607" ht="15" customHeight="1" thickBot="1">
      <c r="A607" s="93">
        <f t="shared" si="48"/>
        <v>92</v>
      </c>
    </row>
    <row r="608" ht="15" customHeight="1" thickBot="1">
      <c r="A608" s="93">
        <f t="shared" si="48"/>
        <v>91</v>
      </c>
    </row>
    <row r="609" ht="15" customHeight="1" thickBot="1">
      <c r="A609" s="93">
        <f t="shared" si="48"/>
        <v>90</v>
      </c>
    </row>
    <row r="610" ht="15" customHeight="1" thickBot="1">
      <c r="A610" s="93">
        <f t="shared" si="48"/>
        <v>89</v>
      </c>
    </row>
    <row r="611" ht="15" customHeight="1" thickBot="1">
      <c r="A611" s="93">
        <f t="shared" si="48"/>
        <v>88</v>
      </c>
    </row>
    <row r="612" ht="15" customHeight="1" thickBot="1">
      <c r="A612" s="93">
        <f t="shared" si="48"/>
        <v>87</v>
      </c>
    </row>
    <row r="613" ht="15" customHeight="1" thickBot="1">
      <c r="A613" s="93">
        <f t="shared" si="48"/>
        <v>86</v>
      </c>
    </row>
    <row r="614" ht="15" customHeight="1" thickBot="1">
      <c r="A614" s="93">
        <f t="shared" si="48"/>
        <v>85</v>
      </c>
    </row>
    <row r="615" ht="15" customHeight="1" thickBot="1">
      <c r="A615" s="93">
        <f aca="true" t="shared" si="49" ref="A615:A621">IF(ISTEXT(D616),1,1+A616)</f>
        <v>84</v>
      </c>
    </row>
    <row r="616" ht="15" customHeight="1" thickBot="1">
      <c r="A616" s="93">
        <f t="shared" si="49"/>
        <v>83</v>
      </c>
    </row>
    <row r="617" ht="15" customHeight="1" thickBot="1">
      <c r="A617" s="93">
        <f t="shared" si="49"/>
        <v>82</v>
      </c>
    </row>
    <row r="618" ht="15" customHeight="1" thickBot="1">
      <c r="A618" s="93">
        <f t="shared" si="49"/>
        <v>81</v>
      </c>
    </row>
    <row r="619" ht="15" customHeight="1" thickBot="1">
      <c r="A619" s="93">
        <f t="shared" si="49"/>
        <v>80</v>
      </c>
    </row>
    <row r="620" ht="15" customHeight="1" thickBot="1">
      <c r="A620" s="93">
        <f t="shared" si="49"/>
        <v>79</v>
      </c>
    </row>
    <row r="621" ht="15" customHeight="1" thickBot="1">
      <c r="A621" s="93">
        <f t="shared" si="49"/>
        <v>78</v>
      </c>
    </row>
    <row r="622" ht="15" customHeight="1" thickBot="1">
      <c r="A622" s="93">
        <f aca="true" t="shared" si="50" ref="A622:A640">IF(ISTEXT(D623),1,1+A623)</f>
        <v>77</v>
      </c>
    </row>
    <row r="623" ht="15" customHeight="1" thickBot="1">
      <c r="A623" s="93">
        <f t="shared" si="50"/>
        <v>76</v>
      </c>
    </row>
    <row r="624" ht="15" customHeight="1" thickBot="1">
      <c r="A624" s="93">
        <f t="shared" si="50"/>
        <v>75</v>
      </c>
    </row>
    <row r="625" ht="15" customHeight="1" thickBot="1">
      <c r="A625" s="93">
        <f t="shared" si="50"/>
        <v>74</v>
      </c>
    </row>
    <row r="626" ht="15" customHeight="1" thickBot="1">
      <c r="A626" s="93">
        <f t="shared" si="50"/>
        <v>73</v>
      </c>
    </row>
    <row r="627" ht="15" customHeight="1" thickBot="1">
      <c r="A627" s="93">
        <f t="shared" si="50"/>
        <v>72</v>
      </c>
    </row>
    <row r="628" ht="15" customHeight="1" thickBot="1">
      <c r="A628" s="93">
        <f t="shared" si="50"/>
        <v>71</v>
      </c>
    </row>
    <row r="629" ht="15" customHeight="1" thickBot="1">
      <c r="A629" s="93">
        <f t="shared" si="50"/>
        <v>70</v>
      </c>
    </row>
    <row r="630" ht="15" customHeight="1" thickBot="1">
      <c r="A630" s="93">
        <f t="shared" si="50"/>
        <v>69</v>
      </c>
    </row>
    <row r="631" ht="15" customHeight="1" thickBot="1">
      <c r="A631" s="93">
        <f t="shared" si="50"/>
        <v>68</v>
      </c>
    </row>
    <row r="632" ht="15" customHeight="1" thickBot="1">
      <c r="A632" s="93">
        <f t="shared" si="50"/>
        <v>67</v>
      </c>
    </row>
    <row r="633" ht="15" customHeight="1" thickBot="1">
      <c r="A633" s="93">
        <f t="shared" si="50"/>
        <v>66</v>
      </c>
    </row>
    <row r="634" ht="15" customHeight="1" thickBot="1">
      <c r="A634" s="93">
        <f t="shared" si="50"/>
        <v>65</v>
      </c>
    </row>
    <row r="635" ht="15" customHeight="1" thickBot="1">
      <c r="A635" s="93">
        <f t="shared" si="50"/>
        <v>64</v>
      </c>
    </row>
    <row r="636" ht="15" customHeight="1" thickBot="1">
      <c r="A636" s="93">
        <f t="shared" si="50"/>
        <v>63</v>
      </c>
    </row>
    <row r="637" ht="15" customHeight="1" thickBot="1">
      <c r="A637" s="93">
        <f t="shared" si="50"/>
        <v>62</v>
      </c>
    </row>
    <row r="638" ht="15" customHeight="1" thickBot="1">
      <c r="A638" s="93">
        <f t="shared" si="50"/>
        <v>61</v>
      </c>
    </row>
    <row r="639" ht="15" customHeight="1" thickBot="1">
      <c r="A639" s="93">
        <f t="shared" si="50"/>
        <v>60</v>
      </c>
    </row>
    <row r="640" ht="15" customHeight="1" thickBot="1">
      <c r="A640" s="93">
        <f t="shared" si="50"/>
        <v>59</v>
      </c>
    </row>
    <row r="641" ht="15" customHeight="1" thickBot="1">
      <c r="A641" s="93">
        <f aca="true" t="shared" si="51" ref="A641:A646">IF(ISTEXT(D642),1,1+A642)</f>
        <v>58</v>
      </c>
    </row>
    <row r="642" ht="15" customHeight="1" thickBot="1">
      <c r="A642" s="93">
        <f t="shared" si="51"/>
        <v>57</v>
      </c>
    </row>
    <row r="643" ht="15" customHeight="1" thickBot="1">
      <c r="A643" s="93">
        <f t="shared" si="51"/>
        <v>56</v>
      </c>
    </row>
    <row r="644" ht="15" customHeight="1" thickBot="1">
      <c r="A644" s="93">
        <f t="shared" si="51"/>
        <v>55</v>
      </c>
    </row>
    <row r="645" ht="15" customHeight="1" thickBot="1">
      <c r="A645" s="93">
        <f t="shared" si="51"/>
        <v>54</v>
      </c>
    </row>
    <row r="646" ht="15" customHeight="1" thickBot="1">
      <c r="A646" s="93">
        <f t="shared" si="51"/>
        <v>53</v>
      </c>
    </row>
    <row r="647" ht="15" customHeight="1" thickBot="1">
      <c r="A647" s="93">
        <f aca="true" t="shared" si="52" ref="A647:A668">IF(ISTEXT(D648),1,1+A648)</f>
        <v>52</v>
      </c>
    </row>
    <row r="648" ht="15" customHeight="1" thickBot="1">
      <c r="A648" s="93">
        <f t="shared" si="52"/>
        <v>51</v>
      </c>
    </row>
    <row r="649" ht="15" customHeight="1" thickBot="1">
      <c r="A649" s="93">
        <f t="shared" si="52"/>
        <v>50</v>
      </c>
    </row>
    <row r="650" ht="15" customHeight="1" thickBot="1">
      <c r="A650" s="93">
        <f t="shared" si="52"/>
        <v>49</v>
      </c>
    </row>
    <row r="651" ht="15" customHeight="1" thickBot="1">
      <c r="A651" s="93">
        <f t="shared" si="52"/>
        <v>48</v>
      </c>
    </row>
    <row r="652" ht="15" customHeight="1" thickBot="1">
      <c r="A652" s="93">
        <f t="shared" si="52"/>
        <v>47</v>
      </c>
    </row>
    <row r="653" ht="15" customHeight="1" thickBot="1">
      <c r="A653" s="93">
        <f t="shared" si="52"/>
        <v>46</v>
      </c>
    </row>
    <row r="654" ht="15" customHeight="1" thickBot="1">
      <c r="A654" s="93">
        <f t="shared" si="52"/>
        <v>45</v>
      </c>
    </row>
    <row r="655" ht="15" customHeight="1" thickBot="1">
      <c r="A655" s="93">
        <f t="shared" si="52"/>
        <v>44</v>
      </c>
    </row>
    <row r="656" ht="15" customHeight="1" thickBot="1">
      <c r="A656" s="93">
        <f t="shared" si="52"/>
        <v>43</v>
      </c>
    </row>
    <row r="657" ht="15" customHeight="1" thickBot="1">
      <c r="A657" s="93">
        <f t="shared" si="52"/>
        <v>42</v>
      </c>
    </row>
    <row r="658" ht="15" customHeight="1" thickBot="1">
      <c r="A658" s="93">
        <f t="shared" si="52"/>
        <v>41</v>
      </c>
    </row>
    <row r="659" ht="15" customHeight="1" thickBot="1">
      <c r="A659" s="93">
        <f t="shared" si="52"/>
        <v>40</v>
      </c>
    </row>
    <row r="660" ht="15" customHeight="1" thickBot="1">
      <c r="A660" s="93">
        <f t="shared" si="52"/>
        <v>39</v>
      </c>
    </row>
    <row r="661" ht="15" customHeight="1" thickBot="1">
      <c r="A661" s="93">
        <f t="shared" si="52"/>
        <v>38</v>
      </c>
    </row>
    <row r="662" ht="15" customHeight="1" thickBot="1">
      <c r="A662" s="93">
        <f t="shared" si="52"/>
        <v>37</v>
      </c>
    </row>
    <row r="663" ht="15" customHeight="1" thickBot="1">
      <c r="A663" s="93">
        <f t="shared" si="52"/>
        <v>36</v>
      </c>
    </row>
    <row r="664" ht="15" customHeight="1" thickBot="1">
      <c r="A664" s="93">
        <f t="shared" si="52"/>
        <v>35</v>
      </c>
    </row>
    <row r="665" ht="15" customHeight="1" thickBot="1">
      <c r="A665" s="93">
        <f t="shared" si="52"/>
        <v>34</v>
      </c>
    </row>
    <row r="666" ht="15" customHeight="1" thickBot="1">
      <c r="A666" s="93">
        <f t="shared" si="52"/>
        <v>33</v>
      </c>
    </row>
    <row r="667" ht="15" customHeight="1" thickBot="1">
      <c r="A667" s="93">
        <f t="shared" si="52"/>
        <v>32</v>
      </c>
    </row>
    <row r="668" ht="15" customHeight="1" thickBot="1">
      <c r="A668" s="93">
        <f t="shared" si="52"/>
        <v>31</v>
      </c>
    </row>
    <row r="669" ht="15" customHeight="1" thickBot="1">
      <c r="A669" s="93">
        <f aca="true" t="shared" si="53" ref="A669:A687">IF(ISTEXT(D670),1,1+A670)</f>
        <v>30</v>
      </c>
    </row>
    <row r="670" ht="15" customHeight="1" thickBot="1">
      <c r="A670" s="93">
        <f t="shared" si="53"/>
        <v>29</v>
      </c>
    </row>
    <row r="671" ht="15" customHeight="1" thickBot="1">
      <c r="A671" s="93">
        <f t="shared" si="53"/>
        <v>28</v>
      </c>
    </row>
    <row r="672" ht="15" customHeight="1" thickBot="1">
      <c r="A672" s="93">
        <f t="shared" si="53"/>
        <v>27</v>
      </c>
    </row>
    <row r="673" ht="15" customHeight="1" thickBot="1">
      <c r="A673" s="93">
        <f t="shared" si="53"/>
        <v>26</v>
      </c>
    </row>
    <row r="674" ht="15" customHeight="1" thickBot="1">
      <c r="A674" s="93">
        <f t="shared" si="53"/>
        <v>25</v>
      </c>
    </row>
    <row r="675" ht="15" customHeight="1" thickBot="1">
      <c r="A675" s="93">
        <f t="shared" si="53"/>
        <v>24</v>
      </c>
    </row>
    <row r="676" ht="15" customHeight="1" thickBot="1">
      <c r="A676" s="93">
        <f t="shared" si="53"/>
        <v>23</v>
      </c>
    </row>
    <row r="677" ht="15" customHeight="1" thickBot="1">
      <c r="A677" s="93">
        <f t="shared" si="53"/>
        <v>22</v>
      </c>
    </row>
    <row r="678" ht="15" customHeight="1" thickBot="1">
      <c r="A678" s="93">
        <f t="shared" si="53"/>
        <v>21</v>
      </c>
    </row>
    <row r="679" ht="15" customHeight="1" thickBot="1">
      <c r="A679" s="93">
        <f t="shared" si="53"/>
        <v>20</v>
      </c>
    </row>
    <row r="680" ht="15" customHeight="1" thickBot="1">
      <c r="A680" s="93">
        <f t="shared" si="53"/>
        <v>19</v>
      </c>
    </row>
    <row r="681" ht="15" customHeight="1" thickBot="1">
      <c r="A681" s="93">
        <f t="shared" si="53"/>
        <v>18</v>
      </c>
    </row>
    <row r="682" ht="15" customHeight="1" thickBot="1">
      <c r="A682" s="93">
        <f t="shared" si="53"/>
        <v>17</v>
      </c>
    </row>
    <row r="683" ht="15" customHeight="1" thickBot="1">
      <c r="A683" s="93">
        <f t="shared" si="53"/>
        <v>16</v>
      </c>
    </row>
    <row r="684" ht="15" customHeight="1" thickBot="1">
      <c r="A684" s="93">
        <f t="shared" si="53"/>
        <v>15</v>
      </c>
    </row>
    <row r="685" ht="15" customHeight="1" thickBot="1">
      <c r="A685" s="93">
        <f t="shared" si="53"/>
        <v>14</v>
      </c>
    </row>
    <row r="686" ht="15" customHeight="1" thickBot="1">
      <c r="A686" s="93">
        <f t="shared" si="53"/>
        <v>13</v>
      </c>
    </row>
    <row r="687" ht="15" customHeight="1" thickBot="1">
      <c r="A687" s="93">
        <f t="shared" si="53"/>
        <v>12</v>
      </c>
    </row>
    <row r="688" ht="15" customHeight="1" thickBot="1">
      <c r="A688" s="93">
        <f aca="true" t="shared" si="54" ref="A688:A698">IF(ISTEXT(D689),1,1+A689)</f>
        <v>11</v>
      </c>
    </row>
    <row r="689" ht="15" customHeight="1" thickBot="1">
      <c r="A689" s="93">
        <f t="shared" si="54"/>
        <v>10</v>
      </c>
    </row>
    <row r="690" ht="15" customHeight="1" thickBot="1">
      <c r="A690" s="93">
        <f t="shared" si="54"/>
        <v>9</v>
      </c>
    </row>
    <row r="691" ht="15" customHeight="1" thickBot="1">
      <c r="A691" s="93">
        <f t="shared" si="54"/>
        <v>8</v>
      </c>
    </row>
    <row r="692" ht="15" customHeight="1" thickBot="1">
      <c r="A692" s="93">
        <f t="shared" si="54"/>
        <v>7</v>
      </c>
    </row>
    <row r="693" ht="15" customHeight="1" thickBot="1">
      <c r="A693" s="93">
        <f t="shared" si="54"/>
        <v>6</v>
      </c>
    </row>
    <row r="694" ht="15" customHeight="1" thickBot="1">
      <c r="A694" s="93">
        <f t="shared" si="54"/>
        <v>5</v>
      </c>
    </row>
    <row r="695" ht="15" customHeight="1" thickBot="1">
      <c r="A695" s="93">
        <f t="shared" si="54"/>
        <v>4</v>
      </c>
    </row>
    <row r="696" ht="15" customHeight="1" thickBot="1">
      <c r="A696" s="93">
        <f t="shared" si="54"/>
        <v>3</v>
      </c>
    </row>
    <row r="697" ht="15" customHeight="1" thickBot="1">
      <c r="A697" s="93">
        <f t="shared" si="54"/>
        <v>2</v>
      </c>
    </row>
    <row r="698" ht="15" customHeight="1" thickBot="1">
      <c r="A698" s="93">
        <f t="shared" si="54"/>
        <v>1</v>
      </c>
    </row>
  </sheetData>
  <sheetProtection sheet="1" selectLockedCells="1" selectUnlockedCells="1"/>
  <mergeCells count="3">
    <mergeCell ref="I431:J431"/>
    <mergeCell ref="C4:K4"/>
    <mergeCell ref="E445:M445"/>
  </mergeCells>
  <printOptions/>
  <pageMargins left="0.75" right="0.75" top="1" bottom="1" header="0.5" footer="0.5"/>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4:F602"/>
  <sheetViews>
    <sheetView showGridLines="0" zoomScale="85" zoomScaleNormal="85" workbookViewId="0" topLeftCell="A3">
      <selection activeCell="E6" sqref="E6"/>
    </sheetView>
  </sheetViews>
  <sheetFormatPr defaultColWidth="9.140625" defaultRowHeight="12.75"/>
  <cols>
    <col min="1" max="2" width="0.2890625" style="0" customWidth="1"/>
    <col min="3" max="3" width="3.140625" style="0" customWidth="1"/>
    <col min="4" max="4" width="0.9921875" style="0" customWidth="1"/>
    <col min="5" max="5" width="4.28125" style="0" customWidth="1"/>
  </cols>
  <sheetData>
    <row r="1" s="35" customFormat="1" ht="2.25" customHeight="1"/>
    <row r="2" s="35" customFormat="1" ht="12.75" customHeight="1"/>
    <row r="3" s="35" customFormat="1" ht="9" customHeight="1" thickBot="1"/>
    <row r="4" spans="1:4" s="238" customFormat="1" ht="21.75" customHeight="1">
      <c r="A4" s="241">
        <f>IF(ISTEXT(D6),1,1+A6)</f>
        <v>1</v>
      </c>
      <c r="C4" s="239"/>
      <c r="D4" s="240" t="s">
        <v>905</v>
      </c>
    </row>
    <row r="5" spans="1:6" s="147" customFormat="1" ht="21.75" customHeight="1">
      <c r="A5" s="241"/>
      <c r="C5" s="155"/>
      <c r="F5" s="146"/>
    </row>
    <row r="6" spans="1:4" s="242" customFormat="1" ht="21.75" customHeight="1">
      <c r="A6" s="242">
        <f aca="true" t="shared" si="0" ref="A6:A78">IF(ISTEXT(D7),1,1+A7)</f>
        <v>597</v>
      </c>
      <c r="D6" s="242" t="s">
        <v>906</v>
      </c>
    </row>
    <row r="7" spans="1:5" ht="15" customHeight="1">
      <c r="A7" s="242">
        <f t="shared" si="0"/>
        <v>596</v>
      </c>
      <c r="B7">
        <v>1</v>
      </c>
      <c r="E7" s="203" t="s">
        <v>907</v>
      </c>
    </row>
    <row r="8" spans="1:6" ht="15" customHeight="1">
      <c r="A8" s="242">
        <f t="shared" si="0"/>
        <v>595</v>
      </c>
      <c r="B8">
        <v>1</v>
      </c>
      <c r="F8" t="s">
        <v>908</v>
      </c>
    </row>
    <row r="9" spans="1:6" ht="15" customHeight="1">
      <c r="A9" s="242">
        <f t="shared" si="0"/>
        <v>594</v>
      </c>
      <c r="B9">
        <v>1</v>
      </c>
      <c r="F9" t="s">
        <v>913</v>
      </c>
    </row>
    <row r="10" spans="1:6" ht="15" customHeight="1">
      <c r="A10" s="242">
        <f t="shared" si="0"/>
        <v>593</v>
      </c>
      <c r="B10">
        <v>1</v>
      </c>
      <c r="F10" t="s">
        <v>914</v>
      </c>
    </row>
    <row r="11" spans="1:5" ht="15" customHeight="1">
      <c r="A11" s="242">
        <f t="shared" si="0"/>
        <v>592</v>
      </c>
      <c r="B11">
        <v>1</v>
      </c>
      <c r="E11" s="203" t="s">
        <v>915</v>
      </c>
    </row>
    <row r="12" spans="1:6" ht="15" customHeight="1">
      <c r="A12" s="242">
        <f t="shared" si="0"/>
        <v>591</v>
      </c>
      <c r="B12">
        <v>1</v>
      </c>
      <c r="F12" t="s">
        <v>916</v>
      </c>
    </row>
    <row r="13" spans="1:6" ht="15" customHeight="1">
      <c r="A13" s="242">
        <f t="shared" si="0"/>
        <v>590</v>
      </c>
      <c r="B13">
        <v>1</v>
      </c>
      <c r="F13" t="s">
        <v>917</v>
      </c>
    </row>
    <row r="14" spans="1:6" ht="15" customHeight="1">
      <c r="A14" s="242">
        <f t="shared" si="0"/>
        <v>589</v>
      </c>
      <c r="B14">
        <v>1</v>
      </c>
      <c r="F14" t="s">
        <v>918</v>
      </c>
    </row>
    <row r="15" spans="1:6" ht="15" customHeight="1">
      <c r="A15" s="242">
        <f t="shared" si="0"/>
        <v>588</v>
      </c>
      <c r="F15" t="s">
        <v>919</v>
      </c>
    </row>
    <row r="16" spans="1:6" ht="15" customHeight="1">
      <c r="A16" s="242">
        <f t="shared" si="0"/>
        <v>587</v>
      </c>
      <c r="F16" t="s">
        <v>920</v>
      </c>
    </row>
    <row r="17" spans="1:6" ht="15" customHeight="1">
      <c r="A17" s="242">
        <f t="shared" si="0"/>
        <v>586</v>
      </c>
      <c r="F17" t="s">
        <v>921</v>
      </c>
    </row>
    <row r="18" spans="1:5" ht="15" customHeight="1">
      <c r="A18" s="242">
        <f t="shared" si="0"/>
        <v>585</v>
      </c>
      <c r="B18">
        <v>1</v>
      </c>
      <c r="E18" s="203" t="s">
        <v>922</v>
      </c>
    </row>
    <row r="19" spans="1:6" ht="15" customHeight="1">
      <c r="A19" s="242">
        <f t="shared" si="0"/>
        <v>584</v>
      </c>
      <c r="F19" t="s">
        <v>230</v>
      </c>
    </row>
    <row r="20" spans="1:5" ht="15" customHeight="1">
      <c r="A20" s="242">
        <f t="shared" si="0"/>
        <v>583</v>
      </c>
      <c r="E20" s="203" t="s">
        <v>231</v>
      </c>
    </row>
    <row r="21" spans="1:6" ht="15" customHeight="1">
      <c r="A21" s="242">
        <f t="shared" si="0"/>
        <v>582</v>
      </c>
      <c r="E21" s="203"/>
      <c r="F21" t="s">
        <v>232</v>
      </c>
    </row>
    <row r="22" spans="1:6" ht="15" customHeight="1">
      <c r="A22" s="242">
        <f t="shared" si="0"/>
        <v>581</v>
      </c>
      <c r="F22" t="s">
        <v>233</v>
      </c>
    </row>
    <row r="23" spans="1:6" ht="15" customHeight="1">
      <c r="A23" s="242">
        <f t="shared" si="0"/>
        <v>580</v>
      </c>
      <c r="F23" t="s">
        <v>234</v>
      </c>
    </row>
    <row r="24" spans="1:6" ht="15" customHeight="1">
      <c r="A24" s="242">
        <f t="shared" si="0"/>
        <v>579</v>
      </c>
      <c r="F24" t="s">
        <v>923</v>
      </c>
    </row>
    <row r="25" spans="1:6" ht="15" customHeight="1">
      <c r="A25" s="242">
        <f t="shared" si="0"/>
        <v>578</v>
      </c>
      <c r="F25" t="s">
        <v>924</v>
      </c>
    </row>
    <row r="26" spans="1:5" ht="15" customHeight="1">
      <c r="A26" s="242">
        <f t="shared" si="0"/>
        <v>577</v>
      </c>
      <c r="E26" s="203" t="s">
        <v>925</v>
      </c>
    </row>
    <row r="27" spans="1:6" ht="15" customHeight="1">
      <c r="A27" s="242">
        <f t="shared" si="0"/>
        <v>576</v>
      </c>
      <c r="F27" t="s">
        <v>926</v>
      </c>
    </row>
    <row r="28" spans="1:6" ht="15" customHeight="1">
      <c r="A28" s="242">
        <f t="shared" si="0"/>
        <v>575</v>
      </c>
      <c r="F28" t="s">
        <v>928</v>
      </c>
    </row>
    <row r="29" spans="1:6" ht="15" customHeight="1">
      <c r="A29" s="242">
        <f t="shared" si="0"/>
        <v>574</v>
      </c>
      <c r="F29" t="s">
        <v>929</v>
      </c>
    </row>
    <row r="30" ht="15" customHeight="1">
      <c r="A30" s="242">
        <f t="shared" si="0"/>
        <v>573</v>
      </c>
    </row>
    <row r="31" ht="15" customHeight="1">
      <c r="A31" s="242">
        <f t="shared" si="0"/>
        <v>572</v>
      </c>
    </row>
    <row r="32" ht="15" customHeight="1">
      <c r="A32" s="242">
        <f t="shared" si="0"/>
        <v>571</v>
      </c>
    </row>
    <row r="33" ht="15" customHeight="1">
      <c r="A33" s="242">
        <f t="shared" si="0"/>
        <v>570</v>
      </c>
    </row>
    <row r="34" ht="15" customHeight="1">
      <c r="A34" s="242">
        <f t="shared" si="0"/>
        <v>569</v>
      </c>
    </row>
    <row r="35" ht="15" customHeight="1">
      <c r="A35" s="242">
        <f t="shared" si="0"/>
        <v>568</v>
      </c>
    </row>
    <row r="36" ht="15" customHeight="1">
      <c r="A36" s="242">
        <f t="shared" si="0"/>
        <v>567</v>
      </c>
    </row>
    <row r="37" ht="15" customHeight="1">
      <c r="A37" s="242">
        <f t="shared" si="0"/>
        <v>566</v>
      </c>
    </row>
    <row r="38" ht="15" customHeight="1">
      <c r="A38" s="242">
        <f t="shared" si="0"/>
        <v>565</v>
      </c>
    </row>
    <row r="39" ht="15" customHeight="1">
      <c r="A39" s="242">
        <f t="shared" si="0"/>
        <v>564</v>
      </c>
    </row>
    <row r="40" ht="15" customHeight="1">
      <c r="A40" s="242">
        <f t="shared" si="0"/>
        <v>563</v>
      </c>
    </row>
    <row r="41" ht="15" customHeight="1">
      <c r="A41" s="242">
        <f t="shared" si="0"/>
        <v>562</v>
      </c>
    </row>
    <row r="42" ht="15" customHeight="1">
      <c r="A42" s="242">
        <f t="shared" si="0"/>
        <v>561</v>
      </c>
    </row>
    <row r="43" ht="15" customHeight="1">
      <c r="A43" s="242">
        <f t="shared" si="0"/>
        <v>560</v>
      </c>
    </row>
    <row r="44" ht="15" customHeight="1">
      <c r="A44" s="242">
        <f t="shared" si="0"/>
        <v>559</v>
      </c>
    </row>
    <row r="45" ht="15" customHeight="1">
      <c r="A45" s="242">
        <f t="shared" si="0"/>
        <v>558</v>
      </c>
    </row>
    <row r="46" ht="15" customHeight="1">
      <c r="A46" s="242">
        <f t="shared" si="0"/>
        <v>557</v>
      </c>
    </row>
    <row r="47" ht="15" customHeight="1">
      <c r="A47" s="242">
        <f t="shared" si="0"/>
        <v>556</v>
      </c>
    </row>
    <row r="48" ht="15" customHeight="1">
      <c r="A48" s="242">
        <f t="shared" si="0"/>
        <v>555</v>
      </c>
    </row>
    <row r="49" ht="15" customHeight="1">
      <c r="A49" s="242">
        <f t="shared" si="0"/>
        <v>554</v>
      </c>
    </row>
    <row r="50" ht="15" customHeight="1">
      <c r="A50" s="242">
        <f t="shared" si="0"/>
        <v>553</v>
      </c>
    </row>
    <row r="51" ht="15" customHeight="1">
      <c r="A51" s="242">
        <f t="shared" si="0"/>
        <v>552</v>
      </c>
    </row>
    <row r="52" ht="15" customHeight="1">
      <c r="A52" s="242">
        <f t="shared" si="0"/>
        <v>551</v>
      </c>
    </row>
    <row r="53" ht="15" customHeight="1">
      <c r="A53" s="242">
        <f t="shared" si="0"/>
        <v>550</v>
      </c>
    </row>
    <row r="54" ht="15" customHeight="1">
      <c r="A54" s="242">
        <f t="shared" si="0"/>
        <v>549</v>
      </c>
    </row>
    <row r="55" ht="15" customHeight="1">
      <c r="A55" s="242">
        <f t="shared" si="0"/>
        <v>548</v>
      </c>
    </row>
    <row r="56" ht="15" customHeight="1">
      <c r="A56" s="242">
        <f t="shared" si="0"/>
        <v>547</v>
      </c>
    </row>
    <row r="57" ht="15" customHeight="1">
      <c r="A57" s="242">
        <f t="shared" si="0"/>
        <v>546</v>
      </c>
    </row>
    <row r="58" ht="15" customHeight="1">
      <c r="A58" s="242">
        <f t="shared" si="0"/>
        <v>545</v>
      </c>
    </row>
    <row r="59" ht="15" customHeight="1">
      <c r="A59" s="242">
        <f t="shared" si="0"/>
        <v>544</v>
      </c>
    </row>
    <row r="60" ht="15" customHeight="1">
      <c r="A60" s="242">
        <f t="shared" si="0"/>
        <v>543</v>
      </c>
    </row>
    <row r="61" ht="15" customHeight="1">
      <c r="A61" s="242">
        <f t="shared" si="0"/>
        <v>542</v>
      </c>
    </row>
    <row r="62" ht="15" customHeight="1">
      <c r="A62" s="242">
        <f t="shared" si="0"/>
        <v>541</v>
      </c>
    </row>
    <row r="63" ht="15" customHeight="1">
      <c r="A63" s="242">
        <f t="shared" si="0"/>
        <v>540</v>
      </c>
    </row>
    <row r="64" ht="15" customHeight="1">
      <c r="A64" s="242">
        <f t="shared" si="0"/>
        <v>539</v>
      </c>
    </row>
    <row r="65" ht="15" customHeight="1">
      <c r="A65" s="242">
        <f t="shared" si="0"/>
        <v>538</v>
      </c>
    </row>
    <row r="66" ht="15" customHeight="1">
      <c r="A66" s="242">
        <f t="shared" si="0"/>
        <v>537</v>
      </c>
    </row>
    <row r="67" ht="15" customHeight="1">
      <c r="A67" s="242">
        <f t="shared" si="0"/>
        <v>536</v>
      </c>
    </row>
    <row r="68" ht="15" customHeight="1">
      <c r="A68" s="242">
        <f t="shared" si="0"/>
        <v>535</v>
      </c>
    </row>
    <row r="69" ht="15" customHeight="1">
      <c r="A69" s="242">
        <f t="shared" si="0"/>
        <v>534</v>
      </c>
    </row>
    <row r="70" ht="15" customHeight="1">
      <c r="A70" s="242">
        <f t="shared" si="0"/>
        <v>533</v>
      </c>
    </row>
    <row r="71" ht="15" customHeight="1">
      <c r="A71" s="242">
        <f t="shared" si="0"/>
        <v>532</v>
      </c>
    </row>
    <row r="72" ht="15" customHeight="1">
      <c r="A72" s="242">
        <f t="shared" si="0"/>
        <v>531</v>
      </c>
    </row>
    <row r="73" ht="15" customHeight="1">
      <c r="A73" s="242">
        <f t="shared" si="0"/>
        <v>530</v>
      </c>
    </row>
    <row r="74" ht="15" customHeight="1">
      <c r="A74" s="242">
        <f t="shared" si="0"/>
        <v>529</v>
      </c>
    </row>
    <row r="75" ht="15" customHeight="1">
      <c r="A75" s="242">
        <f t="shared" si="0"/>
        <v>528</v>
      </c>
    </row>
    <row r="76" ht="15" customHeight="1">
      <c r="A76" s="242">
        <f t="shared" si="0"/>
        <v>527</v>
      </c>
    </row>
    <row r="77" ht="15" customHeight="1">
      <c r="A77" s="242">
        <f t="shared" si="0"/>
        <v>526</v>
      </c>
    </row>
    <row r="78" ht="15" customHeight="1">
      <c r="A78" s="242">
        <f t="shared" si="0"/>
        <v>525</v>
      </c>
    </row>
    <row r="79" ht="15" customHeight="1">
      <c r="A79" s="242">
        <f aca="true" t="shared" si="1" ref="A79:A142">IF(ISTEXT(D80),1,1+A80)</f>
        <v>524</v>
      </c>
    </row>
    <row r="80" ht="15" customHeight="1">
      <c r="A80" s="242">
        <f t="shared" si="1"/>
        <v>523</v>
      </c>
    </row>
    <row r="81" ht="15" customHeight="1">
      <c r="A81" s="242">
        <f t="shared" si="1"/>
        <v>522</v>
      </c>
    </row>
    <row r="82" ht="15" customHeight="1">
      <c r="A82" s="242">
        <f t="shared" si="1"/>
        <v>521</v>
      </c>
    </row>
    <row r="83" ht="15" customHeight="1">
      <c r="A83" s="242">
        <f t="shared" si="1"/>
        <v>520</v>
      </c>
    </row>
    <row r="84" ht="15" customHeight="1">
      <c r="A84" s="242">
        <f t="shared" si="1"/>
        <v>519</v>
      </c>
    </row>
    <row r="85" ht="15" customHeight="1">
      <c r="A85" s="242">
        <f t="shared" si="1"/>
        <v>518</v>
      </c>
    </row>
    <row r="86" ht="15" customHeight="1">
      <c r="A86" s="242">
        <f t="shared" si="1"/>
        <v>517</v>
      </c>
    </row>
    <row r="87" ht="15" customHeight="1">
      <c r="A87" s="242">
        <f t="shared" si="1"/>
        <v>516</v>
      </c>
    </row>
    <row r="88" ht="15" customHeight="1">
      <c r="A88" s="242">
        <f t="shared" si="1"/>
        <v>515</v>
      </c>
    </row>
    <row r="89" ht="15" customHeight="1">
      <c r="A89" s="242">
        <f t="shared" si="1"/>
        <v>514</v>
      </c>
    </row>
    <row r="90" ht="15" customHeight="1">
      <c r="A90" s="242">
        <f t="shared" si="1"/>
        <v>513</v>
      </c>
    </row>
    <row r="91" ht="15" customHeight="1">
      <c r="A91" s="242">
        <f t="shared" si="1"/>
        <v>512</v>
      </c>
    </row>
    <row r="92" ht="15" customHeight="1">
      <c r="A92" s="242">
        <f t="shared" si="1"/>
        <v>511</v>
      </c>
    </row>
    <row r="93" ht="15" customHeight="1">
      <c r="A93" s="242">
        <f t="shared" si="1"/>
        <v>510</v>
      </c>
    </row>
    <row r="94" ht="15" customHeight="1">
      <c r="A94" s="242">
        <f t="shared" si="1"/>
        <v>509</v>
      </c>
    </row>
    <row r="95" ht="15" customHeight="1">
      <c r="A95" s="242">
        <f t="shared" si="1"/>
        <v>508</v>
      </c>
    </row>
    <row r="96" ht="15" customHeight="1">
      <c r="A96" s="242">
        <f t="shared" si="1"/>
        <v>507</v>
      </c>
    </row>
    <row r="97" ht="15" customHeight="1">
      <c r="A97" s="242">
        <f t="shared" si="1"/>
        <v>506</v>
      </c>
    </row>
    <row r="98" ht="15" customHeight="1">
      <c r="A98" s="242">
        <f t="shared" si="1"/>
        <v>505</v>
      </c>
    </row>
    <row r="99" ht="15" customHeight="1">
      <c r="A99" s="242">
        <f t="shared" si="1"/>
        <v>504</v>
      </c>
    </row>
    <row r="100" ht="15" customHeight="1">
      <c r="A100" s="242">
        <f t="shared" si="1"/>
        <v>503</v>
      </c>
    </row>
    <row r="101" ht="15" customHeight="1">
      <c r="A101" s="242">
        <f t="shared" si="1"/>
        <v>502</v>
      </c>
    </row>
    <row r="102" ht="15" customHeight="1">
      <c r="A102" s="242">
        <f t="shared" si="1"/>
        <v>501</v>
      </c>
    </row>
    <row r="103" ht="15" customHeight="1">
      <c r="A103" s="242">
        <f t="shared" si="1"/>
        <v>500</v>
      </c>
    </row>
    <row r="104" ht="15" customHeight="1">
      <c r="A104" s="242">
        <f t="shared" si="1"/>
        <v>499</v>
      </c>
    </row>
    <row r="105" ht="15" customHeight="1">
      <c r="A105" s="242">
        <f t="shared" si="1"/>
        <v>498</v>
      </c>
    </row>
    <row r="106" ht="15" customHeight="1">
      <c r="A106" s="242">
        <f t="shared" si="1"/>
        <v>497</v>
      </c>
    </row>
    <row r="107" ht="15" customHeight="1">
      <c r="A107" s="242">
        <f t="shared" si="1"/>
        <v>496</v>
      </c>
    </row>
    <row r="108" ht="15" customHeight="1">
      <c r="A108" s="242">
        <f t="shared" si="1"/>
        <v>495</v>
      </c>
    </row>
    <row r="109" ht="15" customHeight="1">
      <c r="A109" s="242">
        <f t="shared" si="1"/>
        <v>494</v>
      </c>
    </row>
    <row r="110" ht="15" customHeight="1">
      <c r="A110" s="242">
        <f t="shared" si="1"/>
        <v>493</v>
      </c>
    </row>
    <row r="111" ht="15" customHeight="1">
      <c r="A111" s="242">
        <f t="shared" si="1"/>
        <v>492</v>
      </c>
    </row>
    <row r="112" ht="15" customHeight="1">
      <c r="A112" s="242">
        <f t="shared" si="1"/>
        <v>491</v>
      </c>
    </row>
    <row r="113" ht="15" customHeight="1">
      <c r="A113" s="242">
        <f t="shared" si="1"/>
        <v>490</v>
      </c>
    </row>
    <row r="114" ht="15" customHeight="1">
      <c r="A114" s="242">
        <f t="shared" si="1"/>
        <v>489</v>
      </c>
    </row>
    <row r="115" ht="15" customHeight="1">
      <c r="A115" s="242">
        <f t="shared" si="1"/>
        <v>488</v>
      </c>
    </row>
    <row r="116" ht="15" customHeight="1">
      <c r="A116" s="242">
        <f t="shared" si="1"/>
        <v>487</v>
      </c>
    </row>
    <row r="117" ht="15" customHeight="1">
      <c r="A117" s="242">
        <f t="shared" si="1"/>
        <v>486</v>
      </c>
    </row>
    <row r="118" ht="15" customHeight="1">
      <c r="A118" s="242">
        <f t="shared" si="1"/>
        <v>485</v>
      </c>
    </row>
    <row r="119" ht="15" customHeight="1">
      <c r="A119" s="242">
        <f t="shared" si="1"/>
        <v>484</v>
      </c>
    </row>
    <row r="120" ht="15" customHeight="1">
      <c r="A120" s="242">
        <f t="shared" si="1"/>
        <v>483</v>
      </c>
    </row>
    <row r="121" ht="15" customHeight="1">
      <c r="A121" s="242">
        <f t="shared" si="1"/>
        <v>482</v>
      </c>
    </row>
    <row r="122" ht="15" customHeight="1">
      <c r="A122" s="242">
        <f t="shared" si="1"/>
        <v>481</v>
      </c>
    </row>
    <row r="123" ht="15" customHeight="1">
      <c r="A123" s="242">
        <f t="shared" si="1"/>
        <v>480</v>
      </c>
    </row>
    <row r="124" ht="15" customHeight="1">
      <c r="A124" s="242">
        <f t="shared" si="1"/>
        <v>479</v>
      </c>
    </row>
    <row r="125" ht="15" customHeight="1">
      <c r="A125" s="242">
        <f t="shared" si="1"/>
        <v>478</v>
      </c>
    </row>
    <row r="126" ht="15" customHeight="1">
      <c r="A126" s="242">
        <f t="shared" si="1"/>
        <v>477</v>
      </c>
    </row>
    <row r="127" ht="15" customHeight="1">
      <c r="A127" s="242">
        <f t="shared" si="1"/>
        <v>476</v>
      </c>
    </row>
    <row r="128" ht="15" customHeight="1">
      <c r="A128" s="242">
        <f t="shared" si="1"/>
        <v>475</v>
      </c>
    </row>
    <row r="129" ht="15" customHeight="1">
      <c r="A129" s="242">
        <f t="shared" si="1"/>
        <v>474</v>
      </c>
    </row>
    <row r="130" ht="15" customHeight="1">
      <c r="A130" s="242">
        <f t="shared" si="1"/>
        <v>473</v>
      </c>
    </row>
    <row r="131" ht="15" customHeight="1">
      <c r="A131" s="242">
        <f t="shared" si="1"/>
        <v>472</v>
      </c>
    </row>
    <row r="132" ht="15" customHeight="1">
      <c r="A132" s="242">
        <f t="shared" si="1"/>
        <v>471</v>
      </c>
    </row>
    <row r="133" ht="15" customHeight="1">
      <c r="A133" s="242">
        <f t="shared" si="1"/>
        <v>470</v>
      </c>
    </row>
    <row r="134" ht="15" customHeight="1">
      <c r="A134" s="242">
        <f t="shared" si="1"/>
        <v>469</v>
      </c>
    </row>
    <row r="135" ht="15" customHeight="1">
      <c r="A135" s="242">
        <f t="shared" si="1"/>
        <v>468</v>
      </c>
    </row>
    <row r="136" ht="15" customHeight="1">
      <c r="A136" s="242">
        <f t="shared" si="1"/>
        <v>467</v>
      </c>
    </row>
    <row r="137" ht="15" customHeight="1">
      <c r="A137" s="242">
        <f t="shared" si="1"/>
        <v>466</v>
      </c>
    </row>
    <row r="138" ht="15" customHeight="1">
      <c r="A138" s="242">
        <f t="shared" si="1"/>
        <v>465</v>
      </c>
    </row>
    <row r="139" ht="15" customHeight="1">
      <c r="A139" s="242">
        <f t="shared" si="1"/>
        <v>464</v>
      </c>
    </row>
    <row r="140" ht="15" customHeight="1">
      <c r="A140" s="242">
        <f t="shared" si="1"/>
        <v>463</v>
      </c>
    </row>
    <row r="141" ht="15" customHeight="1">
      <c r="A141" s="242">
        <f t="shared" si="1"/>
        <v>462</v>
      </c>
    </row>
    <row r="142" ht="15" customHeight="1">
      <c r="A142" s="242">
        <f t="shared" si="1"/>
        <v>461</v>
      </c>
    </row>
    <row r="143" ht="15" customHeight="1">
      <c r="A143" s="242">
        <f aca="true" t="shared" si="2" ref="A143:A206">IF(ISTEXT(D144),1,1+A144)</f>
        <v>460</v>
      </c>
    </row>
    <row r="144" ht="15" customHeight="1">
      <c r="A144" s="242">
        <f t="shared" si="2"/>
        <v>459</v>
      </c>
    </row>
    <row r="145" ht="15" customHeight="1">
      <c r="A145" s="242">
        <f t="shared" si="2"/>
        <v>458</v>
      </c>
    </row>
    <row r="146" ht="15" customHeight="1">
      <c r="A146" s="242">
        <f t="shared" si="2"/>
        <v>457</v>
      </c>
    </row>
    <row r="147" ht="15" customHeight="1">
      <c r="A147" s="242">
        <f t="shared" si="2"/>
        <v>456</v>
      </c>
    </row>
    <row r="148" ht="15" customHeight="1">
      <c r="A148" s="242">
        <f t="shared" si="2"/>
        <v>455</v>
      </c>
    </row>
    <row r="149" ht="15" customHeight="1">
      <c r="A149" s="242">
        <f t="shared" si="2"/>
        <v>454</v>
      </c>
    </row>
    <row r="150" ht="15" customHeight="1">
      <c r="A150" s="242">
        <f t="shared" si="2"/>
        <v>453</v>
      </c>
    </row>
    <row r="151" ht="15" customHeight="1">
      <c r="A151" s="242">
        <f t="shared" si="2"/>
        <v>452</v>
      </c>
    </row>
    <row r="152" ht="15" customHeight="1">
      <c r="A152" s="242">
        <f t="shared" si="2"/>
        <v>451</v>
      </c>
    </row>
    <row r="153" ht="15" customHeight="1">
      <c r="A153" s="242">
        <f t="shared" si="2"/>
        <v>450</v>
      </c>
    </row>
    <row r="154" ht="15" customHeight="1">
      <c r="A154" s="242">
        <f t="shared" si="2"/>
        <v>449</v>
      </c>
    </row>
    <row r="155" ht="15" customHeight="1">
      <c r="A155" s="242">
        <f t="shared" si="2"/>
        <v>448</v>
      </c>
    </row>
    <row r="156" ht="15" customHeight="1">
      <c r="A156" s="242">
        <f t="shared" si="2"/>
        <v>447</v>
      </c>
    </row>
    <row r="157" ht="15" customHeight="1">
      <c r="A157" s="242">
        <f t="shared" si="2"/>
        <v>446</v>
      </c>
    </row>
    <row r="158" ht="15" customHeight="1">
      <c r="A158" s="242">
        <f t="shared" si="2"/>
        <v>445</v>
      </c>
    </row>
    <row r="159" ht="15" customHeight="1">
      <c r="A159" s="242">
        <f t="shared" si="2"/>
        <v>444</v>
      </c>
    </row>
    <row r="160" ht="15" customHeight="1">
      <c r="A160" s="242">
        <f t="shared" si="2"/>
        <v>443</v>
      </c>
    </row>
    <row r="161" ht="15" customHeight="1">
      <c r="A161" s="242">
        <f t="shared" si="2"/>
        <v>442</v>
      </c>
    </row>
    <row r="162" ht="15" customHeight="1">
      <c r="A162" s="242">
        <f t="shared" si="2"/>
        <v>441</v>
      </c>
    </row>
    <row r="163" ht="15" customHeight="1">
      <c r="A163" s="242">
        <f t="shared" si="2"/>
        <v>440</v>
      </c>
    </row>
    <row r="164" ht="15" customHeight="1">
      <c r="A164" s="242">
        <f t="shared" si="2"/>
        <v>439</v>
      </c>
    </row>
    <row r="165" ht="15" customHeight="1">
      <c r="A165" s="242">
        <f t="shared" si="2"/>
        <v>438</v>
      </c>
    </row>
    <row r="166" ht="15" customHeight="1">
      <c r="A166" s="242">
        <f t="shared" si="2"/>
        <v>437</v>
      </c>
    </row>
    <row r="167" ht="15" customHeight="1">
      <c r="A167" s="242">
        <f t="shared" si="2"/>
        <v>436</v>
      </c>
    </row>
    <row r="168" ht="15" customHeight="1">
      <c r="A168" s="242">
        <f t="shared" si="2"/>
        <v>435</v>
      </c>
    </row>
    <row r="169" ht="15" customHeight="1">
      <c r="A169" s="242">
        <f t="shared" si="2"/>
        <v>434</v>
      </c>
    </row>
    <row r="170" ht="15" customHeight="1">
      <c r="A170" s="242">
        <f t="shared" si="2"/>
        <v>433</v>
      </c>
    </row>
    <row r="171" ht="15" customHeight="1">
      <c r="A171" s="242">
        <f t="shared" si="2"/>
        <v>432</v>
      </c>
    </row>
    <row r="172" ht="15" customHeight="1">
      <c r="A172" s="242">
        <f t="shared" si="2"/>
        <v>431</v>
      </c>
    </row>
    <row r="173" ht="15" customHeight="1">
      <c r="A173" s="242">
        <f t="shared" si="2"/>
        <v>430</v>
      </c>
    </row>
    <row r="174" ht="15" customHeight="1">
      <c r="A174" s="242">
        <f t="shared" si="2"/>
        <v>429</v>
      </c>
    </row>
    <row r="175" ht="15" customHeight="1">
      <c r="A175" s="242">
        <f t="shared" si="2"/>
        <v>428</v>
      </c>
    </row>
    <row r="176" ht="15" customHeight="1">
      <c r="A176" s="242">
        <f t="shared" si="2"/>
        <v>427</v>
      </c>
    </row>
    <row r="177" ht="15" customHeight="1">
      <c r="A177" s="242">
        <f t="shared" si="2"/>
        <v>426</v>
      </c>
    </row>
    <row r="178" ht="15" customHeight="1">
      <c r="A178" s="242">
        <f t="shared" si="2"/>
        <v>425</v>
      </c>
    </row>
    <row r="179" ht="15" customHeight="1">
      <c r="A179" s="242">
        <f t="shared" si="2"/>
        <v>424</v>
      </c>
    </row>
    <row r="180" ht="15" customHeight="1">
      <c r="A180" s="242">
        <f t="shared" si="2"/>
        <v>423</v>
      </c>
    </row>
    <row r="181" ht="15" customHeight="1">
      <c r="A181" s="242">
        <f t="shared" si="2"/>
        <v>422</v>
      </c>
    </row>
    <row r="182" ht="15" customHeight="1">
      <c r="A182" s="242">
        <f t="shared" si="2"/>
        <v>421</v>
      </c>
    </row>
    <row r="183" ht="15" customHeight="1">
      <c r="A183" s="242">
        <f t="shared" si="2"/>
        <v>420</v>
      </c>
    </row>
    <row r="184" ht="15" customHeight="1">
      <c r="A184" s="242">
        <f t="shared" si="2"/>
        <v>419</v>
      </c>
    </row>
    <row r="185" ht="15" customHeight="1">
      <c r="A185" s="242">
        <f t="shared" si="2"/>
        <v>418</v>
      </c>
    </row>
    <row r="186" ht="15" customHeight="1">
      <c r="A186" s="242">
        <f t="shared" si="2"/>
        <v>417</v>
      </c>
    </row>
    <row r="187" ht="15" customHeight="1">
      <c r="A187" s="242">
        <f t="shared" si="2"/>
        <v>416</v>
      </c>
    </row>
    <row r="188" ht="15" customHeight="1">
      <c r="A188" s="242">
        <f t="shared" si="2"/>
        <v>415</v>
      </c>
    </row>
    <row r="189" ht="15" customHeight="1">
      <c r="A189" s="242">
        <f t="shared" si="2"/>
        <v>414</v>
      </c>
    </row>
    <row r="190" ht="15" customHeight="1">
      <c r="A190" s="242">
        <f t="shared" si="2"/>
        <v>413</v>
      </c>
    </row>
    <row r="191" ht="15" customHeight="1">
      <c r="A191" s="242">
        <f t="shared" si="2"/>
        <v>412</v>
      </c>
    </row>
    <row r="192" ht="15" customHeight="1">
      <c r="A192" s="242">
        <f t="shared" si="2"/>
        <v>411</v>
      </c>
    </row>
    <row r="193" ht="15" customHeight="1">
      <c r="A193" s="242">
        <f t="shared" si="2"/>
        <v>410</v>
      </c>
    </row>
    <row r="194" ht="15" customHeight="1">
      <c r="A194" s="242">
        <f t="shared" si="2"/>
        <v>409</v>
      </c>
    </row>
    <row r="195" ht="15" customHeight="1">
      <c r="A195" s="242">
        <f t="shared" si="2"/>
        <v>408</v>
      </c>
    </row>
    <row r="196" ht="15" customHeight="1">
      <c r="A196" s="242">
        <f t="shared" si="2"/>
        <v>407</v>
      </c>
    </row>
    <row r="197" ht="15" customHeight="1">
      <c r="A197" s="242">
        <f t="shared" si="2"/>
        <v>406</v>
      </c>
    </row>
    <row r="198" ht="15" customHeight="1">
      <c r="A198" s="242">
        <f t="shared" si="2"/>
        <v>405</v>
      </c>
    </row>
    <row r="199" ht="15" customHeight="1">
      <c r="A199" s="242">
        <f t="shared" si="2"/>
        <v>404</v>
      </c>
    </row>
    <row r="200" ht="15" customHeight="1">
      <c r="A200" s="242">
        <f t="shared" si="2"/>
        <v>403</v>
      </c>
    </row>
    <row r="201" ht="15" customHeight="1">
      <c r="A201" s="242">
        <f t="shared" si="2"/>
        <v>402</v>
      </c>
    </row>
    <row r="202" ht="15" customHeight="1">
      <c r="A202" s="242">
        <f t="shared" si="2"/>
        <v>401</v>
      </c>
    </row>
    <row r="203" ht="15" customHeight="1">
      <c r="A203" s="242">
        <f t="shared" si="2"/>
        <v>400</v>
      </c>
    </row>
    <row r="204" ht="15" customHeight="1">
      <c r="A204" s="242">
        <f t="shared" si="2"/>
        <v>399</v>
      </c>
    </row>
    <row r="205" ht="15" customHeight="1">
      <c r="A205" s="242">
        <f t="shared" si="2"/>
        <v>398</v>
      </c>
    </row>
    <row r="206" ht="15" customHeight="1">
      <c r="A206" s="242">
        <f t="shared" si="2"/>
        <v>397</v>
      </c>
    </row>
    <row r="207" ht="15" customHeight="1">
      <c r="A207" s="242">
        <f aca="true" t="shared" si="3" ref="A207:A270">IF(ISTEXT(D208),1,1+A208)</f>
        <v>396</v>
      </c>
    </row>
    <row r="208" ht="15" customHeight="1">
      <c r="A208" s="242">
        <f t="shared" si="3"/>
        <v>395</v>
      </c>
    </row>
    <row r="209" ht="15" customHeight="1">
      <c r="A209" s="242">
        <f t="shared" si="3"/>
        <v>394</v>
      </c>
    </row>
    <row r="210" ht="15" customHeight="1">
      <c r="A210" s="242">
        <f t="shared" si="3"/>
        <v>393</v>
      </c>
    </row>
    <row r="211" ht="15" customHeight="1">
      <c r="A211" s="242">
        <f t="shared" si="3"/>
        <v>392</v>
      </c>
    </row>
    <row r="212" ht="15" customHeight="1">
      <c r="A212" s="242">
        <f t="shared" si="3"/>
        <v>391</v>
      </c>
    </row>
    <row r="213" ht="15" customHeight="1">
      <c r="A213" s="242">
        <f t="shared" si="3"/>
        <v>390</v>
      </c>
    </row>
    <row r="214" ht="15" customHeight="1">
      <c r="A214" s="242">
        <f t="shared" si="3"/>
        <v>389</v>
      </c>
    </row>
    <row r="215" ht="15" customHeight="1">
      <c r="A215" s="242">
        <f t="shared" si="3"/>
        <v>388</v>
      </c>
    </row>
    <row r="216" ht="15" customHeight="1">
      <c r="A216" s="242">
        <f t="shared" si="3"/>
        <v>387</v>
      </c>
    </row>
    <row r="217" ht="15" customHeight="1">
      <c r="A217" s="242">
        <f t="shared" si="3"/>
        <v>386</v>
      </c>
    </row>
    <row r="218" ht="15" customHeight="1">
      <c r="A218" s="242">
        <f t="shared" si="3"/>
        <v>385</v>
      </c>
    </row>
    <row r="219" ht="15" customHeight="1">
      <c r="A219" s="242">
        <f t="shared" si="3"/>
        <v>384</v>
      </c>
    </row>
    <row r="220" ht="15" customHeight="1">
      <c r="A220" s="242">
        <f t="shared" si="3"/>
        <v>383</v>
      </c>
    </row>
    <row r="221" ht="15" customHeight="1">
      <c r="A221" s="242">
        <f t="shared" si="3"/>
        <v>382</v>
      </c>
    </row>
    <row r="222" ht="15" customHeight="1">
      <c r="A222" s="242">
        <f t="shared" si="3"/>
        <v>381</v>
      </c>
    </row>
    <row r="223" ht="15" customHeight="1">
      <c r="A223" s="242">
        <f t="shared" si="3"/>
        <v>380</v>
      </c>
    </row>
    <row r="224" ht="15" customHeight="1">
      <c r="A224" s="242">
        <f t="shared" si="3"/>
        <v>379</v>
      </c>
    </row>
    <row r="225" ht="15" customHeight="1">
      <c r="A225" s="242">
        <f t="shared" si="3"/>
        <v>378</v>
      </c>
    </row>
    <row r="226" ht="15" customHeight="1">
      <c r="A226" s="242">
        <f t="shared" si="3"/>
        <v>377</v>
      </c>
    </row>
    <row r="227" ht="15" customHeight="1">
      <c r="A227" s="242">
        <f t="shared" si="3"/>
        <v>376</v>
      </c>
    </row>
    <row r="228" ht="15" customHeight="1">
      <c r="A228" s="242">
        <f t="shared" si="3"/>
        <v>375</v>
      </c>
    </row>
    <row r="229" ht="15" customHeight="1">
      <c r="A229" s="242">
        <f t="shared" si="3"/>
        <v>374</v>
      </c>
    </row>
    <row r="230" ht="15" customHeight="1">
      <c r="A230" s="242">
        <f t="shared" si="3"/>
        <v>373</v>
      </c>
    </row>
    <row r="231" ht="15" customHeight="1">
      <c r="A231" s="242">
        <f t="shared" si="3"/>
        <v>372</v>
      </c>
    </row>
    <row r="232" ht="15" customHeight="1">
      <c r="A232" s="242">
        <f t="shared" si="3"/>
        <v>371</v>
      </c>
    </row>
    <row r="233" ht="15" customHeight="1">
      <c r="A233" s="242">
        <f t="shared" si="3"/>
        <v>370</v>
      </c>
    </row>
    <row r="234" ht="15" customHeight="1">
      <c r="A234" s="242">
        <f t="shared" si="3"/>
        <v>369</v>
      </c>
    </row>
    <row r="235" ht="15" customHeight="1">
      <c r="A235" s="242">
        <f t="shared" si="3"/>
        <v>368</v>
      </c>
    </row>
    <row r="236" ht="15" customHeight="1">
      <c r="A236" s="242">
        <f t="shared" si="3"/>
        <v>367</v>
      </c>
    </row>
    <row r="237" ht="15" customHeight="1">
      <c r="A237" s="242">
        <f t="shared" si="3"/>
        <v>366</v>
      </c>
    </row>
    <row r="238" ht="15" customHeight="1">
      <c r="A238" s="242">
        <f t="shared" si="3"/>
        <v>365</v>
      </c>
    </row>
    <row r="239" ht="15" customHeight="1">
      <c r="A239" s="242">
        <f t="shared" si="3"/>
        <v>364</v>
      </c>
    </row>
    <row r="240" ht="15" customHeight="1">
      <c r="A240" s="242">
        <f t="shared" si="3"/>
        <v>363</v>
      </c>
    </row>
    <row r="241" ht="15" customHeight="1">
      <c r="A241" s="242">
        <f t="shared" si="3"/>
        <v>362</v>
      </c>
    </row>
    <row r="242" ht="15" customHeight="1">
      <c r="A242" s="242">
        <f t="shared" si="3"/>
        <v>361</v>
      </c>
    </row>
    <row r="243" ht="15" customHeight="1">
      <c r="A243" s="242">
        <f t="shared" si="3"/>
        <v>360</v>
      </c>
    </row>
    <row r="244" ht="15" customHeight="1">
      <c r="A244" s="242">
        <f t="shared" si="3"/>
        <v>359</v>
      </c>
    </row>
    <row r="245" ht="15" customHeight="1">
      <c r="A245" s="242">
        <f t="shared" si="3"/>
        <v>358</v>
      </c>
    </row>
    <row r="246" ht="15" customHeight="1">
      <c r="A246" s="242">
        <f t="shared" si="3"/>
        <v>357</v>
      </c>
    </row>
    <row r="247" ht="15" customHeight="1">
      <c r="A247" s="242">
        <f t="shared" si="3"/>
        <v>356</v>
      </c>
    </row>
    <row r="248" ht="15" customHeight="1">
      <c r="A248" s="242">
        <f t="shared" si="3"/>
        <v>355</v>
      </c>
    </row>
    <row r="249" ht="15" customHeight="1">
      <c r="A249" s="242">
        <f t="shared" si="3"/>
        <v>354</v>
      </c>
    </row>
    <row r="250" ht="15" customHeight="1">
      <c r="A250" s="242">
        <f t="shared" si="3"/>
        <v>353</v>
      </c>
    </row>
    <row r="251" ht="15" customHeight="1">
      <c r="A251" s="242">
        <f t="shared" si="3"/>
        <v>352</v>
      </c>
    </row>
    <row r="252" ht="15" customHeight="1">
      <c r="A252" s="242">
        <f t="shared" si="3"/>
        <v>351</v>
      </c>
    </row>
    <row r="253" ht="15" customHeight="1">
      <c r="A253" s="242">
        <f t="shared" si="3"/>
        <v>350</v>
      </c>
    </row>
    <row r="254" ht="15" customHeight="1">
      <c r="A254" s="242">
        <f t="shared" si="3"/>
        <v>349</v>
      </c>
    </row>
    <row r="255" ht="15" customHeight="1">
      <c r="A255" s="242">
        <f t="shared" si="3"/>
        <v>348</v>
      </c>
    </row>
    <row r="256" ht="15" customHeight="1">
      <c r="A256" s="242">
        <f t="shared" si="3"/>
        <v>347</v>
      </c>
    </row>
    <row r="257" ht="15" customHeight="1">
      <c r="A257" s="242">
        <f t="shared" si="3"/>
        <v>346</v>
      </c>
    </row>
    <row r="258" ht="15" customHeight="1">
      <c r="A258" s="242">
        <f t="shared" si="3"/>
        <v>345</v>
      </c>
    </row>
    <row r="259" ht="15" customHeight="1">
      <c r="A259" s="242">
        <f t="shared" si="3"/>
        <v>344</v>
      </c>
    </row>
    <row r="260" ht="15" customHeight="1">
      <c r="A260" s="242">
        <f t="shared" si="3"/>
        <v>343</v>
      </c>
    </row>
    <row r="261" ht="15" customHeight="1">
      <c r="A261" s="242">
        <f t="shared" si="3"/>
        <v>342</v>
      </c>
    </row>
    <row r="262" ht="15" customHeight="1">
      <c r="A262" s="242">
        <f t="shared" si="3"/>
        <v>341</v>
      </c>
    </row>
    <row r="263" ht="15" customHeight="1">
      <c r="A263" s="242">
        <f t="shared" si="3"/>
        <v>340</v>
      </c>
    </row>
    <row r="264" ht="15" customHeight="1">
      <c r="A264" s="242">
        <f t="shared" si="3"/>
        <v>339</v>
      </c>
    </row>
    <row r="265" ht="15" customHeight="1">
      <c r="A265" s="242">
        <f t="shared" si="3"/>
        <v>338</v>
      </c>
    </row>
    <row r="266" ht="15" customHeight="1">
      <c r="A266" s="242">
        <f t="shared" si="3"/>
        <v>337</v>
      </c>
    </row>
    <row r="267" ht="15" customHeight="1">
      <c r="A267" s="242">
        <f t="shared" si="3"/>
        <v>336</v>
      </c>
    </row>
    <row r="268" ht="15" customHeight="1">
      <c r="A268" s="242">
        <f t="shared" si="3"/>
        <v>335</v>
      </c>
    </row>
    <row r="269" ht="15" customHeight="1">
      <c r="A269" s="242">
        <f t="shared" si="3"/>
        <v>334</v>
      </c>
    </row>
    <row r="270" ht="15" customHeight="1">
      <c r="A270" s="242">
        <f t="shared" si="3"/>
        <v>333</v>
      </c>
    </row>
    <row r="271" ht="15" customHeight="1">
      <c r="A271" s="242">
        <f aca="true" t="shared" si="4" ref="A271:A334">IF(ISTEXT(D272),1,1+A272)</f>
        <v>332</v>
      </c>
    </row>
    <row r="272" ht="15" customHeight="1">
      <c r="A272" s="242">
        <f t="shared" si="4"/>
        <v>331</v>
      </c>
    </row>
    <row r="273" ht="15" customHeight="1">
      <c r="A273" s="242">
        <f t="shared" si="4"/>
        <v>330</v>
      </c>
    </row>
    <row r="274" ht="15" customHeight="1">
      <c r="A274" s="242">
        <f t="shared" si="4"/>
        <v>329</v>
      </c>
    </row>
    <row r="275" ht="15" customHeight="1">
      <c r="A275" s="242">
        <f t="shared" si="4"/>
        <v>328</v>
      </c>
    </row>
    <row r="276" ht="15" customHeight="1">
      <c r="A276" s="242">
        <f t="shared" si="4"/>
        <v>327</v>
      </c>
    </row>
    <row r="277" ht="15" customHeight="1">
      <c r="A277" s="242">
        <f t="shared" si="4"/>
        <v>326</v>
      </c>
    </row>
    <row r="278" ht="15" customHeight="1">
      <c r="A278" s="242">
        <f t="shared" si="4"/>
        <v>325</v>
      </c>
    </row>
    <row r="279" ht="15" customHeight="1">
      <c r="A279" s="242">
        <f t="shared" si="4"/>
        <v>324</v>
      </c>
    </row>
    <row r="280" ht="15" customHeight="1">
      <c r="A280" s="242">
        <f t="shared" si="4"/>
        <v>323</v>
      </c>
    </row>
    <row r="281" ht="15" customHeight="1">
      <c r="A281" s="242">
        <f t="shared" si="4"/>
        <v>322</v>
      </c>
    </row>
    <row r="282" ht="15" customHeight="1">
      <c r="A282" s="242">
        <f t="shared" si="4"/>
        <v>321</v>
      </c>
    </row>
    <row r="283" ht="15" customHeight="1">
      <c r="A283" s="242">
        <f t="shared" si="4"/>
        <v>320</v>
      </c>
    </row>
    <row r="284" ht="15" customHeight="1">
      <c r="A284" s="242">
        <f t="shared" si="4"/>
        <v>319</v>
      </c>
    </row>
    <row r="285" ht="15" customHeight="1">
      <c r="A285" s="242">
        <f t="shared" si="4"/>
        <v>318</v>
      </c>
    </row>
    <row r="286" ht="15" customHeight="1">
      <c r="A286" s="242">
        <f t="shared" si="4"/>
        <v>317</v>
      </c>
    </row>
    <row r="287" ht="15" customHeight="1">
      <c r="A287" s="242">
        <f t="shared" si="4"/>
        <v>316</v>
      </c>
    </row>
    <row r="288" ht="15" customHeight="1">
      <c r="A288" s="242">
        <f t="shared" si="4"/>
        <v>315</v>
      </c>
    </row>
    <row r="289" ht="15" customHeight="1">
      <c r="A289" s="242">
        <f t="shared" si="4"/>
        <v>314</v>
      </c>
    </row>
    <row r="290" ht="15" customHeight="1">
      <c r="A290" s="242">
        <f t="shared" si="4"/>
        <v>313</v>
      </c>
    </row>
    <row r="291" ht="15" customHeight="1">
      <c r="A291" s="242">
        <f t="shared" si="4"/>
        <v>312</v>
      </c>
    </row>
    <row r="292" ht="15" customHeight="1">
      <c r="A292" s="242">
        <f t="shared" si="4"/>
        <v>311</v>
      </c>
    </row>
    <row r="293" ht="15" customHeight="1">
      <c r="A293" s="242">
        <f t="shared" si="4"/>
        <v>310</v>
      </c>
    </row>
    <row r="294" ht="15" customHeight="1">
      <c r="A294" s="242">
        <f t="shared" si="4"/>
        <v>309</v>
      </c>
    </row>
    <row r="295" ht="15" customHeight="1">
      <c r="A295" s="242">
        <f t="shared" si="4"/>
        <v>308</v>
      </c>
    </row>
    <row r="296" ht="15" customHeight="1">
      <c r="A296" s="242">
        <f t="shared" si="4"/>
        <v>307</v>
      </c>
    </row>
    <row r="297" ht="15" customHeight="1">
      <c r="A297" s="242">
        <f t="shared" si="4"/>
        <v>306</v>
      </c>
    </row>
    <row r="298" ht="15" customHeight="1">
      <c r="A298" s="242">
        <f t="shared" si="4"/>
        <v>305</v>
      </c>
    </row>
    <row r="299" ht="15" customHeight="1">
      <c r="A299" s="242">
        <f t="shared" si="4"/>
        <v>304</v>
      </c>
    </row>
    <row r="300" ht="15" customHeight="1">
      <c r="A300" s="242">
        <f t="shared" si="4"/>
        <v>303</v>
      </c>
    </row>
    <row r="301" ht="15" customHeight="1">
      <c r="A301" s="242">
        <f t="shared" si="4"/>
        <v>302</v>
      </c>
    </row>
    <row r="302" ht="15" customHeight="1">
      <c r="A302" s="242">
        <f t="shared" si="4"/>
        <v>301</v>
      </c>
    </row>
    <row r="303" ht="15" customHeight="1">
      <c r="A303" s="242">
        <f t="shared" si="4"/>
        <v>300</v>
      </c>
    </row>
    <row r="304" ht="15" customHeight="1">
      <c r="A304" s="242">
        <f t="shared" si="4"/>
        <v>299</v>
      </c>
    </row>
    <row r="305" ht="15" customHeight="1">
      <c r="A305" s="242">
        <f t="shared" si="4"/>
        <v>298</v>
      </c>
    </row>
    <row r="306" ht="15" customHeight="1">
      <c r="A306" s="242">
        <f t="shared" si="4"/>
        <v>297</v>
      </c>
    </row>
    <row r="307" ht="15" customHeight="1">
      <c r="A307" s="242">
        <f t="shared" si="4"/>
        <v>296</v>
      </c>
    </row>
    <row r="308" ht="15" customHeight="1">
      <c r="A308" s="242">
        <f t="shared" si="4"/>
        <v>295</v>
      </c>
    </row>
    <row r="309" ht="15" customHeight="1">
      <c r="A309" s="242">
        <f t="shared" si="4"/>
        <v>294</v>
      </c>
    </row>
    <row r="310" ht="15" customHeight="1">
      <c r="A310" s="242">
        <f t="shared" si="4"/>
        <v>293</v>
      </c>
    </row>
    <row r="311" ht="15" customHeight="1">
      <c r="A311" s="242">
        <f t="shared" si="4"/>
        <v>292</v>
      </c>
    </row>
    <row r="312" ht="15" customHeight="1">
      <c r="A312" s="242">
        <f t="shared" si="4"/>
        <v>291</v>
      </c>
    </row>
    <row r="313" ht="15" customHeight="1">
      <c r="A313" s="242">
        <f t="shared" si="4"/>
        <v>290</v>
      </c>
    </row>
    <row r="314" ht="15" customHeight="1">
      <c r="A314" s="242">
        <f t="shared" si="4"/>
        <v>289</v>
      </c>
    </row>
    <row r="315" ht="15" customHeight="1">
      <c r="A315" s="242">
        <f t="shared" si="4"/>
        <v>288</v>
      </c>
    </row>
    <row r="316" ht="15" customHeight="1">
      <c r="A316" s="242">
        <f t="shared" si="4"/>
        <v>287</v>
      </c>
    </row>
    <row r="317" ht="15" customHeight="1">
      <c r="A317" s="242">
        <f t="shared" si="4"/>
        <v>286</v>
      </c>
    </row>
    <row r="318" ht="15" customHeight="1">
      <c r="A318" s="242">
        <f t="shared" si="4"/>
        <v>285</v>
      </c>
    </row>
    <row r="319" ht="15" customHeight="1">
      <c r="A319" s="242">
        <f t="shared" si="4"/>
        <v>284</v>
      </c>
    </row>
    <row r="320" ht="15" customHeight="1">
      <c r="A320" s="242">
        <f t="shared" si="4"/>
        <v>283</v>
      </c>
    </row>
    <row r="321" ht="15" customHeight="1">
      <c r="A321" s="242">
        <f t="shared" si="4"/>
        <v>282</v>
      </c>
    </row>
    <row r="322" ht="15" customHeight="1">
      <c r="A322" s="242">
        <f t="shared" si="4"/>
        <v>281</v>
      </c>
    </row>
    <row r="323" ht="15" customHeight="1">
      <c r="A323" s="242">
        <f t="shared" si="4"/>
        <v>280</v>
      </c>
    </row>
    <row r="324" ht="15" customHeight="1">
      <c r="A324" s="242">
        <f t="shared" si="4"/>
        <v>279</v>
      </c>
    </row>
    <row r="325" ht="15" customHeight="1">
      <c r="A325" s="242">
        <f t="shared" si="4"/>
        <v>278</v>
      </c>
    </row>
    <row r="326" ht="15" customHeight="1">
      <c r="A326" s="242">
        <f t="shared" si="4"/>
        <v>277</v>
      </c>
    </row>
    <row r="327" ht="15" customHeight="1">
      <c r="A327" s="242">
        <f t="shared" si="4"/>
        <v>276</v>
      </c>
    </row>
    <row r="328" ht="15" customHeight="1">
      <c r="A328" s="242">
        <f t="shared" si="4"/>
        <v>275</v>
      </c>
    </row>
    <row r="329" ht="15" customHeight="1">
      <c r="A329" s="242">
        <f t="shared" si="4"/>
        <v>274</v>
      </c>
    </row>
    <row r="330" ht="15" customHeight="1">
      <c r="A330" s="242">
        <f t="shared" si="4"/>
        <v>273</v>
      </c>
    </row>
    <row r="331" ht="15" customHeight="1">
      <c r="A331" s="242">
        <f t="shared" si="4"/>
        <v>272</v>
      </c>
    </row>
    <row r="332" ht="15" customHeight="1">
      <c r="A332" s="242">
        <f t="shared" si="4"/>
        <v>271</v>
      </c>
    </row>
    <row r="333" ht="15" customHeight="1">
      <c r="A333" s="242">
        <f t="shared" si="4"/>
        <v>270</v>
      </c>
    </row>
    <row r="334" ht="15" customHeight="1">
      <c r="A334" s="242">
        <f t="shared" si="4"/>
        <v>269</v>
      </c>
    </row>
    <row r="335" ht="15" customHeight="1">
      <c r="A335" s="242">
        <f aca="true" t="shared" si="5" ref="A335:A398">IF(ISTEXT(D336),1,1+A336)</f>
        <v>268</v>
      </c>
    </row>
    <row r="336" ht="15" customHeight="1">
      <c r="A336" s="242">
        <f t="shared" si="5"/>
        <v>267</v>
      </c>
    </row>
    <row r="337" ht="15" customHeight="1">
      <c r="A337" s="242">
        <f t="shared" si="5"/>
        <v>266</v>
      </c>
    </row>
    <row r="338" ht="15" customHeight="1">
      <c r="A338" s="242">
        <f t="shared" si="5"/>
        <v>265</v>
      </c>
    </row>
    <row r="339" ht="15" customHeight="1">
      <c r="A339" s="242">
        <f t="shared" si="5"/>
        <v>264</v>
      </c>
    </row>
    <row r="340" ht="15" customHeight="1">
      <c r="A340" s="242">
        <f t="shared" si="5"/>
        <v>263</v>
      </c>
    </row>
    <row r="341" ht="15" customHeight="1">
      <c r="A341" s="242">
        <f t="shared" si="5"/>
        <v>262</v>
      </c>
    </row>
    <row r="342" ht="15" customHeight="1">
      <c r="A342" s="242">
        <f t="shared" si="5"/>
        <v>261</v>
      </c>
    </row>
    <row r="343" ht="15" customHeight="1">
      <c r="A343" s="242">
        <f t="shared" si="5"/>
        <v>260</v>
      </c>
    </row>
    <row r="344" ht="15" customHeight="1">
      <c r="A344" s="242">
        <f t="shared" si="5"/>
        <v>259</v>
      </c>
    </row>
    <row r="345" ht="15" customHeight="1">
      <c r="A345" s="242">
        <f t="shared" si="5"/>
        <v>258</v>
      </c>
    </row>
    <row r="346" ht="15" customHeight="1">
      <c r="A346" s="242">
        <f t="shared" si="5"/>
        <v>257</v>
      </c>
    </row>
    <row r="347" ht="15" customHeight="1">
      <c r="A347" s="242">
        <f t="shared" si="5"/>
        <v>256</v>
      </c>
    </row>
    <row r="348" ht="15" customHeight="1">
      <c r="A348" s="242">
        <f t="shared" si="5"/>
        <v>255</v>
      </c>
    </row>
    <row r="349" ht="15" customHeight="1">
      <c r="A349" s="242">
        <f t="shared" si="5"/>
        <v>254</v>
      </c>
    </row>
    <row r="350" ht="15" customHeight="1">
      <c r="A350" s="242">
        <f t="shared" si="5"/>
        <v>253</v>
      </c>
    </row>
    <row r="351" ht="15" customHeight="1">
      <c r="A351" s="242">
        <f t="shared" si="5"/>
        <v>252</v>
      </c>
    </row>
    <row r="352" ht="15" customHeight="1">
      <c r="A352" s="242">
        <f t="shared" si="5"/>
        <v>251</v>
      </c>
    </row>
    <row r="353" ht="15" customHeight="1">
      <c r="A353" s="242">
        <f t="shared" si="5"/>
        <v>250</v>
      </c>
    </row>
    <row r="354" ht="15" customHeight="1">
      <c r="A354" s="242">
        <f t="shared" si="5"/>
        <v>249</v>
      </c>
    </row>
    <row r="355" ht="15" customHeight="1">
      <c r="A355" s="242">
        <f t="shared" si="5"/>
        <v>248</v>
      </c>
    </row>
    <row r="356" ht="15" customHeight="1">
      <c r="A356" s="242">
        <f t="shared" si="5"/>
        <v>247</v>
      </c>
    </row>
    <row r="357" ht="15" customHeight="1">
      <c r="A357" s="242">
        <f t="shared" si="5"/>
        <v>246</v>
      </c>
    </row>
    <row r="358" ht="15" customHeight="1">
      <c r="A358" s="242">
        <f t="shared" si="5"/>
        <v>245</v>
      </c>
    </row>
    <row r="359" ht="15" customHeight="1">
      <c r="A359" s="242">
        <f t="shared" si="5"/>
        <v>244</v>
      </c>
    </row>
    <row r="360" ht="15" customHeight="1">
      <c r="A360" s="242">
        <f t="shared" si="5"/>
        <v>243</v>
      </c>
    </row>
    <row r="361" ht="15" customHeight="1">
      <c r="A361" s="242">
        <f t="shared" si="5"/>
        <v>242</v>
      </c>
    </row>
    <row r="362" ht="15" customHeight="1">
      <c r="A362" s="242">
        <f t="shared" si="5"/>
        <v>241</v>
      </c>
    </row>
    <row r="363" ht="15" customHeight="1">
      <c r="A363" s="242">
        <f t="shared" si="5"/>
        <v>240</v>
      </c>
    </row>
    <row r="364" ht="15" customHeight="1">
      <c r="A364" s="242">
        <f t="shared" si="5"/>
        <v>239</v>
      </c>
    </row>
    <row r="365" ht="15" customHeight="1">
      <c r="A365" s="242">
        <f t="shared" si="5"/>
        <v>238</v>
      </c>
    </row>
    <row r="366" ht="15" customHeight="1">
      <c r="A366" s="242">
        <f t="shared" si="5"/>
        <v>237</v>
      </c>
    </row>
    <row r="367" ht="15" customHeight="1">
      <c r="A367" s="242">
        <f t="shared" si="5"/>
        <v>236</v>
      </c>
    </row>
    <row r="368" ht="15" customHeight="1">
      <c r="A368" s="242">
        <f t="shared" si="5"/>
        <v>235</v>
      </c>
    </row>
    <row r="369" ht="15" customHeight="1">
      <c r="A369" s="242">
        <f t="shared" si="5"/>
        <v>234</v>
      </c>
    </row>
    <row r="370" ht="15" customHeight="1">
      <c r="A370" s="242">
        <f t="shared" si="5"/>
        <v>233</v>
      </c>
    </row>
    <row r="371" ht="15" customHeight="1">
      <c r="A371" s="242">
        <f t="shared" si="5"/>
        <v>232</v>
      </c>
    </row>
    <row r="372" ht="15" customHeight="1">
      <c r="A372" s="242">
        <f t="shared" si="5"/>
        <v>231</v>
      </c>
    </row>
    <row r="373" ht="15" customHeight="1">
      <c r="A373" s="242">
        <f t="shared" si="5"/>
        <v>230</v>
      </c>
    </row>
    <row r="374" ht="15" customHeight="1">
      <c r="A374" s="242">
        <f t="shared" si="5"/>
        <v>229</v>
      </c>
    </row>
    <row r="375" ht="15" customHeight="1">
      <c r="A375" s="242">
        <f t="shared" si="5"/>
        <v>228</v>
      </c>
    </row>
    <row r="376" ht="15" customHeight="1">
      <c r="A376" s="242">
        <f t="shared" si="5"/>
        <v>227</v>
      </c>
    </row>
    <row r="377" ht="15" customHeight="1">
      <c r="A377" s="242">
        <f t="shared" si="5"/>
        <v>226</v>
      </c>
    </row>
    <row r="378" ht="15" customHeight="1">
      <c r="A378" s="242">
        <f t="shared" si="5"/>
        <v>225</v>
      </c>
    </row>
    <row r="379" ht="15" customHeight="1">
      <c r="A379" s="242">
        <f t="shared" si="5"/>
        <v>224</v>
      </c>
    </row>
    <row r="380" ht="15" customHeight="1">
      <c r="A380" s="242">
        <f t="shared" si="5"/>
        <v>223</v>
      </c>
    </row>
    <row r="381" ht="15" customHeight="1">
      <c r="A381" s="242">
        <f t="shared" si="5"/>
        <v>222</v>
      </c>
    </row>
    <row r="382" ht="15" customHeight="1">
      <c r="A382" s="242">
        <f t="shared" si="5"/>
        <v>221</v>
      </c>
    </row>
    <row r="383" ht="15" customHeight="1">
      <c r="A383" s="242">
        <f t="shared" si="5"/>
        <v>220</v>
      </c>
    </row>
    <row r="384" ht="15" customHeight="1">
      <c r="A384" s="242">
        <f t="shared" si="5"/>
        <v>219</v>
      </c>
    </row>
    <row r="385" ht="15" customHeight="1">
      <c r="A385" s="242">
        <f t="shared" si="5"/>
        <v>218</v>
      </c>
    </row>
    <row r="386" ht="15" customHeight="1">
      <c r="A386" s="242">
        <f t="shared" si="5"/>
        <v>217</v>
      </c>
    </row>
    <row r="387" ht="15" customHeight="1">
      <c r="A387" s="242">
        <f t="shared" si="5"/>
        <v>216</v>
      </c>
    </row>
    <row r="388" ht="15" customHeight="1">
      <c r="A388" s="242">
        <f t="shared" si="5"/>
        <v>215</v>
      </c>
    </row>
    <row r="389" ht="15" customHeight="1">
      <c r="A389" s="242">
        <f t="shared" si="5"/>
        <v>214</v>
      </c>
    </row>
    <row r="390" ht="15" customHeight="1">
      <c r="A390" s="242">
        <f t="shared" si="5"/>
        <v>213</v>
      </c>
    </row>
    <row r="391" ht="15" customHeight="1">
      <c r="A391" s="242">
        <f t="shared" si="5"/>
        <v>212</v>
      </c>
    </row>
    <row r="392" ht="15" customHeight="1">
      <c r="A392" s="242">
        <f t="shared" si="5"/>
        <v>211</v>
      </c>
    </row>
    <row r="393" ht="15" customHeight="1">
      <c r="A393" s="242">
        <f t="shared" si="5"/>
        <v>210</v>
      </c>
    </row>
    <row r="394" ht="15" customHeight="1">
      <c r="A394" s="242">
        <f t="shared" si="5"/>
        <v>209</v>
      </c>
    </row>
    <row r="395" ht="15" customHeight="1">
      <c r="A395" s="242">
        <f t="shared" si="5"/>
        <v>208</v>
      </c>
    </row>
    <row r="396" ht="15" customHeight="1">
      <c r="A396" s="242">
        <f t="shared" si="5"/>
        <v>207</v>
      </c>
    </row>
    <row r="397" ht="15" customHeight="1">
      <c r="A397" s="242">
        <f t="shared" si="5"/>
        <v>206</v>
      </c>
    </row>
    <row r="398" ht="15" customHeight="1">
      <c r="A398" s="242">
        <f t="shared" si="5"/>
        <v>205</v>
      </c>
    </row>
    <row r="399" ht="15" customHeight="1">
      <c r="A399" s="242">
        <f aca="true" t="shared" si="6" ref="A399:A462">IF(ISTEXT(D400),1,1+A400)</f>
        <v>204</v>
      </c>
    </row>
    <row r="400" ht="15" customHeight="1">
      <c r="A400" s="242">
        <f t="shared" si="6"/>
        <v>203</v>
      </c>
    </row>
    <row r="401" ht="15" customHeight="1">
      <c r="A401" s="242">
        <f t="shared" si="6"/>
        <v>202</v>
      </c>
    </row>
    <row r="402" ht="15" customHeight="1">
      <c r="A402" s="242">
        <f t="shared" si="6"/>
        <v>201</v>
      </c>
    </row>
    <row r="403" ht="15" customHeight="1">
      <c r="A403" s="242">
        <f t="shared" si="6"/>
        <v>200</v>
      </c>
    </row>
    <row r="404" ht="15" customHeight="1">
      <c r="A404" s="242">
        <f t="shared" si="6"/>
        <v>199</v>
      </c>
    </row>
    <row r="405" ht="15" customHeight="1">
      <c r="A405" s="242">
        <f t="shared" si="6"/>
        <v>198</v>
      </c>
    </row>
    <row r="406" ht="15" customHeight="1">
      <c r="A406" s="242">
        <f t="shared" si="6"/>
        <v>197</v>
      </c>
    </row>
    <row r="407" ht="15" customHeight="1">
      <c r="A407" s="242">
        <f t="shared" si="6"/>
        <v>196</v>
      </c>
    </row>
    <row r="408" ht="15" customHeight="1">
      <c r="A408" s="242">
        <f t="shared" si="6"/>
        <v>195</v>
      </c>
    </row>
    <row r="409" ht="15" customHeight="1">
      <c r="A409" s="242">
        <f t="shared" si="6"/>
        <v>194</v>
      </c>
    </row>
    <row r="410" ht="15" customHeight="1">
      <c r="A410" s="242">
        <f t="shared" si="6"/>
        <v>193</v>
      </c>
    </row>
    <row r="411" ht="15" customHeight="1">
      <c r="A411" s="242">
        <f t="shared" si="6"/>
        <v>192</v>
      </c>
    </row>
    <row r="412" ht="15" customHeight="1">
      <c r="A412" s="242">
        <f t="shared" si="6"/>
        <v>191</v>
      </c>
    </row>
    <row r="413" ht="15" customHeight="1">
      <c r="A413" s="242">
        <f t="shared" si="6"/>
        <v>190</v>
      </c>
    </row>
    <row r="414" ht="15" customHeight="1">
      <c r="A414" s="242">
        <f t="shared" si="6"/>
        <v>189</v>
      </c>
    </row>
    <row r="415" ht="15" customHeight="1">
      <c r="A415" s="242">
        <f t="shared" si="6"/>
        <v>188</v>
      </c>
    </row>
    <row r="416" ht="15" customHeight="1">
      <c r="A416" s="242">
        <f t="shared" si="6"/>
        <v>187</v>
      </c>
    </row>
    <row r="417" ht="15" customHeight="1">
      <c r="A417" s="242">
        <f t="shared" si="6"/>
        <v>186</v>
      </c>
    </row>
    <row r="418" ht="15" customHeight="1">
      <c r="A418" s="242">
        <f t="shared" si="6"/>
        <v>185</v>
      </c>
    </row>
    <row r="419" ht="15" customHeight="1">
      <c r="A419" s="242">
        <f t="shared" si="6"/>
        <v>184</v>
      </c>
    </row>
    <row r="420" ht="15" customHeight="1">
      <c r="A420" s="242">
        <f t="shared" si="6"/>
        <v>183</v>
      </c>
    </row>
    <row r="421" ht="15" customHeight="1">
      <c r="A421" s="242">
        <f t="shared" si="6"/>
        <v>182</v>
      </c>
    </row>
    <row r="422" ht="15" customHeight="1">
      <c r="A422" s="242">
        <f t="shared" si="6"/>
        <v>181</v>
      </c>
    </row>
    <row r="423" ht="15" customHeight="1">
      <c r="A423" s="242">
        <f t="shared" si="6"/>
        <v>180</v>
      </c>
    </row>
    <row r="424" ht="15" customHeight="1">
      <c r="A424" s="242">
        <f t="shared" si="6"/>
        <v>179</v>
      </c>
    </row>
    <row r="425" ht="15" customHeight="1">
      <c r="A425" s="242">
        <f t="shared" si="6"/>
        <v>178</v>
      </c>
    </row>
    <row r="426" ht="15" customHeight="1">
      <c r="A426" s="242">
        <f t="shared" si="6"/>
        <v>177</v>
      </c>
    </row>
    <row r="427" ht="15" customHeight="1">
      <c r="A427" s="242">
        <f t="shared" si="6"/>
        <v>176</v>
      </c>
    </row>
    <row r="428" ht="15" customHeight="1">
      <c r="A428" s="242">
        <f t="shared" si="6"/>
        <v>175</v>
      </c>
    </row>
    <row r="429" ht="15" customHeight="1">
      <c r="A429" s="242">
        <f t="shared" si="6"/>
        <v>174</v>
      </c>
    </row>
    <row r="430" ht="15" customHeight="1">
      <c r="A430" s="242">
        <f t="shared" si="6"/>
        <v>173</v>
      </c>
    </row>
    <row r="431" ht="15" customHeight="1">
      <c r="A431" s="242">
        <f t="shared" si="6"/>
        <v>172</v>
      </c>
    </row>
    <row r="432" ht="15" customHeight="1">
      <c r="A432" s="242">
        <f t="shared" si="6"/>
        <v>171</v>
      </c>
    </row>
    <row r="433" ht="15" customHeight="1">
      <c r="A433" s="242">
        <f t="shared" si="6"/>
        <v>170</v>
      </c>
    </row>
    <row r="434" ht="15" customHeight="1">
      <c r="A434" s="242">
        <f t="shared" si="6"/>
        <v>169</v>
      </c>
    </row>
    <row r="435" ht="15" customHeight="1">
      <c r="A435" s="242">
        <f t="shared" si="6"/>
        <v>168</v>
      </c>
    </row>
    <row r="436" ht="15" customHeight="1">
      <c r="A436" s="242">
        <f t="shared" si="6"/>
        <v>167</v>
      </c>
    </row>
    <row r="437" ht="15" customHeight="1">
      <c r="A437" s="242">
        <f t="shared" si="6"/>
        <v>166</v>
      </c>
    </row>
    <row r="438" ht="15" customHeight="1">
      <c r="A438" s="242">
        <f t="shared" si="6"/>
        <v>165</v>
      </c>
    </row>
    <row r="439" ht="15" customHeight="1">
      <c r="A439" s="242">
        <f t="shared" si="6"/>
        <v>164</v>
      </c>
    </row>
    <row r="440" ht="15" customHeight="1">
      <c r="A440" s="242">
        <f t="shared" si="6"/>
        <v>163</v>
      </c>
    </row>
    <row r="441" ht="15" customHeight="1">
      <c r="A441" s="242">
        <f t="shared" si="6"/>
        <v>162</v>
      </c>
    </row>
    <row r="442" ht="15" customHeight="1">
      <c r="A442" s="242">
        <f t="shared" si="6"/>
        <v>161</v>
      </c>
    </row>
    <row r="443" ht="15" customHeight="1">
      <c r="A443" s="242">
        <f t="shared" si="6"/>
        <v>160</v>
      </c>
    </row>
    <row r="444" ht="15" customHeight="1">
      <c r="A444" s="242">
        <f t="shared" si="6"/>
        <v>159</v>
      </c>
    </row>
    <row r="445" ht="15" customHeight="1">
      <c r="A445" s="242">
        <f t="shared" si="6"/>
        <v>158</v>
      </c>
    </row>
    <row r="446" ht="15" customHeight="1">
      <c r="A446" s="242">
        <f t="shared" si="6"/>
        <v>157</v>
      </c>
    </row>
    <row r="447" ht="15" customHeight="1">
      <c r="A447" s="242">
        <f t="shared" si="6"/>
        <v>156</v>
      </c>
    </row>
    <row r="448" ht="15" customHeight="1">
      <c r="A448" s="242">
        <f t="shared" si="6"/>
        <v>155</v>
      </c>
    </row>
    <row r="449" ht="15" customHeight="1">
      <c r="A449" s="242">
        <f t="shared" si="6"/>
        <v>154</v>
      </c>
    </row>
    <row r="450" ht="15" customHeight="1">
      <c r="A450" s="242">
        <f t="shared" si="6"/>
        <v>153</v>
      </c>
    </row>
    <row r="451" ht="15" customHeight="1">
      <c r="A451" s="242">
        <f t="shared" si="6"/>
        <v>152</v>
      </c>
    </row>
    <row r="452" ht="15" customHeight="1">
      <c r="A452" s="242">
        <f t="shared" si="6"/>
        <v>151</v>
      </c>
    </row>
    <row r="453" ht="15" customHeight="1">
      <c r="A453" s="242">
        <f t="shared" si="6"/>
        <v>150</v>
      </c>
    </row>
    <row r="454" ht="15" customHeight="1">
      <c r="A454" s="242">
        <f t="shared" si="6"/>
        <v>149</v>
      </c>
    </row>
    <row r="455" ht="15" customHeight="1">
      <c r="A455" s="242">
        <f t="shared" si="6"/>
        <v>148</v>
      </c>
    </row>
    <row r="456" ht="15" customHeight="1">
      <c r="A456" s="242">
        <f t="shared" si="6"/>
        <v>147</v>
      </c>
    </row>
    <row r="457" ht="15" customHeight="1">
      <c r="A457" s="242">
        <f t="shared" si="6"/>
        <v>146</v>
      </c>
    </row>
    <row r="458" ht="15" customHeight="1">
      <c r="A458" s="242">
        <f t="shared" si="6"/>
        <v>145</v>
      </c>
    </row>
    <row r="459" ht="15" customHeight="1">
      <c r="A459" s="242">
        <f t="shared" si="6"/>
        <v>144</v>
      </c>
    </row>
    <row r="460" ht="15" customHeight="1">
      <c r="A460" s="242">
        <f t="shared" si="6"/>
        <v>143</v>
      </c>
    </row>
    <row r="461" ht="15" customHeight="1">
      <c r="A461" s="242">
        <f t="shared" si="6"/>
        <v>142</v>
      </c>
    </row>
    <row r="462" ht="15" customHeight="1">
      <c r="A462" s="242">
        <f t="shared" si="6"/>
        <v>141</v>
      </c>
    </row>
    <row r="463" ht="15" customHeight="1">
      <c r="A463" s="242">
        <f aca="true" t="shared" si="7" ref="A463:A526">IF(ISTEXT(D464),1,1+A464)</f>
        <v>140</v>
      </c>
    </row>
    <row r="464" ht="15" customHeight="1">
      <c r="A464" s="242">
        <f t="shared" si="7"/>
        <v>139</v>
      </c>
    </row>
    <row r="465" ht="15" customHeight="1">
      <c r="A465" s="242">
        <f t="shared" si="7"/>
        <v>138</v>
      </c>
    </row>
    <row r="466" ht="15" customHeight="1">
      <c r="A466" s="242">
        <f t="shared" si="7"/>
        <v>137</v>
      </c>
    </row>
    <row r="467" ht="15" customHeight="1">
      <c r="A467" s="242">
        <f t="shared" si="7"/>
        <v>136</v>
      </c>
    </row>
    <row r="468" ht="15" customHeight="1">
      <c r="A468" s="242">
        <f t="shared" si="7"/>
        <v>135</v>
      </c>
    </row>
    <row r="469" ht="15" customHeight="1">
      <c r="A469" s="242">
        <f t="shared" si="7"/>
        <v>134</v>
      </c>
    </row>
    <row r="470" ht="15" customHeight="1">
      <c r="A470" s="242">
        <f t="shared" si="7"/>
        <v>133</v>
      </c>
    </row>
    <row r="471" ht="15" customHeight="1">
      <c r="A471" s="242">
        <f t="shared" si="7"/>
        <v>132</v>
      </c>
    </row>
    <row r="472" ht="15" customHeight="1">
      <c r="A472" s="242">
        <f t="shared" si="7"/>
        <v>131</v>
      </c>
    </row>
    <row r="473" ht="15" customHeight="1">
      <c r="A473" s="242">
        <f t="shared" si="7"/>
        <v>130</v>
      </c>
    </row>
    <row r="474" ht="15" customHeight="1">
      <c r="A474" s="242">
        <f t="shared" si="7"/>
        <v>129</v>
      </c>
    </row>
    <row r="475" ht="15" customHeight="1">
      <c r="A475" s="242">
        <f t="shared" si="7"/>
        <v>128</v>
      </c>
    </row>
    <row r="476" ht="15" customHeight="1">
      <c r="A476" s="242">
        <f t="shared" si="7"/>
        <v>127</v>
      </c>
    </row>
    <row r="477" ht="15" customHeight="1">
      <c r="A477" s="242">
        <f t="shared" si="7"/>
        <v>126</v>
      </c>
    </row>
    <row r="478" ht="15" customHeight="1">
      <c r="A478" s="242">
        <f t="shared" si="7"/>
        <v>125</v>
      </c>
    </row>
    <row r="479" ht="15" customHeight="1">
      <c r="A479" s="242">
        <f t="shared" si="7"/>
        <v>124</v>
      </c>
    </row>
    <row r="480" ht="15" customHeight="1">
      <c r="A480" s="242">
        <f t="shared" si="7"/>
        <v>123</v>
      </c>
    </row>
    <row r="481" ht="15" customHeight="1">
      <c r="A481" s="242">
        <f t="shared" si="7"/>
        <v>122</v>
      </c>
    </row>
    <row r="482" ht="15" customHeight="1">
      <c r="A482" s="242">
        <f t="shared" si="7"/>
        <v>121</v>
      </c>
    </row>
    <row r="483" ht="15" customHeight="1">
      <c r="A483" s="242">
        <f t="shared" si="7"/>
        <v>120</v>
      </c>
    </row>
    <row r="484" ht="15" customHeight="1">
      <c r="A484" s="242">
        <f t="shared" si="7"/>
        <v>119</v>
      </c>
    </row>
    <row r="485" ht="15" customHeight="1">
      <c r="A485" s="242">
        <f t="shared" si="7"/>
        <v>118</v>
      </c>
    </row>
    <row r="486" ht="15" customHeight="1">
      <c r="A486" s="242">
        <f t="shared" si="7"/>
        <v>117</v>
      </c>
    </row>
    <row r="487" ht="15" customHeight="1">
      <c r="A487" s="242">
        <f t="shared" si="7"/>
        <v>116</v>
      </c>
    </row>
    <row r="488" ht="15" customHeight="1">
      <c r="A488" s="242">
        <f t="shared" si="7"/>
        <v>115</v>
      </c>
    </row>
    <row r="489" ht="15" customHeight="1">
      <c r="A489" s="242">
        <f t="shared" si="7"/>
        <v>114</v>
      </c>
    </row>
    <row r="490" ht="15" customHeight="1">
      <c r="A490" s="242">
        <f t="shared" si="7"/>
        <v>113</v>
      </c>
    </row>
    <row r="491" ht="15" customHeight="1">
      <c r="A491" s="242">
        <f t="shared" si="7"/>
        <v>112</v>
      </c>
    </row>
    <row r="492" ht="15" customHeight="1">
      <c r="A492" s="242">
        <f t="shared" si="7"/>
        <v>111</v>
      </c>
    </row>
    <row r="493" ht="15" customHeight="1">
      <c r="A493" s="242">
        <f t="shared" si="7"/>
        <v>110</v>
      </c>
    </row>
    <row r="494" ht="15" customHeight="1">
      <c r="A494" s="242">
        <f t="shared" si="7"/>
        <v>109</v>
      </c>
    </row>
    <row r="495" ht="15" customHeight="1">
      <c r="A495" s="242">
        <f t="shared" si="7"/>
        <v>108</v>
      </c>
    </row>
    <row r="496" ht="15" customHeight="1">
      <c r="A496" s="242">
        <f t="shared" si="7"/>
        <v>107</v>
      </c>
    </row>
    <row r="497" ht="15" customHeight="1">
      <c r="A497" s="242">
        <f t="shared" si="7"/>
        <v>106</v>
      </c>
    </row>
    <row r="498" ht="15" customHeight="1">
      <c r="A498" s="242">
        <f t="shared" si="7"/>
        <v>105</v>
      </c>
    </row>
    <row r="499" ht="15" customHeight="1">
      <c r="A499" s="242">
        <f t="shared" si="7"/>
        <v>104</v>
      </c>
    </row>
    <row r="500" ht="15" customHeight="1">
      <c r="A500" s="242">
        <f t="shared" si="7"/>
        <v>103</v>
      </c>
    </row>
    <row r="501" ht="15" customHeight="1">
      <c r="A501" s="242">
        <f t="shared" si="7"/>
        <v>102</v>
      </c>
    </row>
    <row r="502" ht="15" customHeight="1">
      <c r="A502" s="242">
        <f t="shared" si="7"/>
        <v>101</v>
      </c>
    </row>
    <row r="503" ht="15" customHeight="1">
      <c r="A503" s="242">
        <f t="shared" si="7"/>
        <v>100</v>
      </c>
    </row>
    <row r="504" ht="15" customHeight="1">
      <c r="A504" s="242">
        <f t="shared" si="7"/>
        <v>99</v>
      </c>
    </row>
    <row r="505" ht="15" customHeight="1">
      <c r="A505" s="242">
        <f t="shared" si="7"/>
        <v>98</v>
      </c>
    </row>
    <row r="506" ht="15" customHeight="1">
      <c r="A506" s="242">
        <f t="shared" si="7"/>
        <v>97</v>
      </c>
    </row>
    <row r="507" ht="15" customHeight="1">
      <c r="A507" s="242">
        <f t="shared" si="7"/>
        <v>96</v>
      </c>
    </row>
    <row r="508" ht="15" customHeight="1">
      <c r="A508" s="242">
        <f t="shared" si="7"/>
        <v>95</v>
      </c>
    </row>
    <row r="509" ht="15" customHeight="1">
      <c r="A509" s="242">
        <f t="shared" si="7"/>
        <v>94</v>
      </c>
    </row>
    <row r="510" ht="15" customHeight="1">
      <c r="A510" s="242">
        <f t="shared" si="7"/>
        <v>93</v>
      </c>
    </row>
    <row r="511" ht="15" customHeight="1">
      <c r="A511" s="242">
        <f t="shared" si="7"/>
        <v>92</v>
      </c>
    </row>
    <row r="512" ht="15" customHeight="1">
      <c r="A512" s="242">
        <f t="shared" si="7"/>
        <v>91</v>
      </c>
    </row>
    <row r="513" ht="15" customHeight="1">
      <c r="A513" s="242">
        <f t="shared" si="7"/>
        <v>90</v>
      </c>
    </row>
    <row r="514" ht="15" customHeight="1">
      <c r="A514" s="242">
        <f t="shared" si="7"/>
        <v>89</v>
      </c>
    </row>
    <row r="515" ht="15" customHeight="1">
      <c r="A515" s="242">
        <f t="shared" si="7"/>
        <v>88</v>
      </c>
    </row>
    <row r="516" ht="15" customHeight="1">
      <c r="A516" s="242">
        <f t="shared" si="7"/>
        <v>87</v>
      </c>
    </row>
    <row r="517" ht="15" customHeight="1">
      <c r="A517" s="242">
        <f t="shared" si="7"/>
        <v>86</v>
      </c>
    </row>
    <row r="518" ht="15" customHeight="1">
      <c r="A518" s="242">
        <f t="shared" si="7"/>
        <v>85</v>
      </c>
    </row>
    <row r="519" ht="15" customHeight="1">
      <c r="A519" s="242">
        <f t="shared" si="7"/>
        <v>84</v>
      </c>
    </row>
    <row r="520" ht="15" customHeight="1">
      <c r="A520" s="242">
        <f t="shared" si="7"/>
        <v>83</v>
      </c>
    </row>
    <row r="521" ht="15" customHeight="1">
      <c r="A521" s="242">
        <f t="shared" si="7"/>
        <v>82</v>
      </c>
    </row>
    <row r="522" ht="15" customHeight="1">
      <c r="A522" s="242">
        <f t="shared" si="7"/>
        <v>81</v>
      </c>
    </row>
    <row r="523" ht="15" customHeight="1">
      <c r="A523" s="242">
        <f t="shared" si="7"/>
        <v>80</v>
      </c>
    </row>
    <row r="524" ht="15" customHeight="1">
      <c r="A524" s="242">
        <f t="shared" si="7"/>
        <v>79</v>
      </c>
    </row>
    <row r="525" ht="15" customHeight="1">
      <c r="A525" s="242">
        <f t="shared" si="7"/>
        <v>78</v>
      </c>
    </row>
    <row r="526" ht="15" customHeight="1">
      <c r="A526" s="242">
        <f t="shared" si="7"/>
        <v>77</v>
      </c>
    </row>
    <row r="527" ht="15" customHeight="1">
      <c r="A527" s="242">
        <f aca="true" t="shared" si="8" ref="A527:A590">IF(ISTEXT(D528),1,1+A528)</f>
        <v>76</v>
      </c>
    </row>
    <row r="528" ht="15" customHeight="1">
      <c r="A528" s="242">
        <f t="shared" si="8"/>
        <v>75</v>
      </c>
    </row>
    <row r="529" ht="15" customHeight="1">
      <c r="A529" s="242">
        <f t="shared" si="8"/>
        <v>74</v>
      </c>
    </row>
    <row r="530" ht="15" customHeight="1">
      <c r="A530" s="242">
        <f t="shared" si="8"/>
        <v>73</v>
      </c>
    </row>
    <row r="531" ht="15" customHeight="1">
      <c r="A531" s="242">
        <f t="shared" si="8"/>
        <v>72</v>
      </c>
    </row>
    <row r="532" ht="15" customHeight="1">
      <c r="A532" s="242">
        <f t="shared" si="8"/>
        <v>71</v>
      </c>
    </row>
    <row r="533" ht="15" customHeight="1">
      <c r="A533" s="242">
        <f t="shared" si="8"/>
        <v>70</v>
      </c>
    </row>
    <row r="534" ht="15" customHeight="1">
      <c r="A534" s="242">
        <f t="shared" si="8"/>
        <v>69</v>
      </c>
    </row>
    <row r="535" ht="15" customHeight="1">
      <c r="A535" s="242">
        <f t="shared" si="8"/>
        <v>68</v>
      </c>
    </row>
    <row r="536" ht="15" customHeight="1">
      <c r="A536" s="242">
        <f t="shared" si="8"/>
        <v>67</v>
      </c>
    </row>
    <row r="537" ht="15" customHeight="1">
      <c r="A537" s="242">
        <f t="shared" si="8"/>
        <v>66</v>
      </c>
    </row>
    <row r="538" ht="15" customHeight="1">
      <c r="A538" s="242">
        <f t="shared" si="8"/>
        <v>65</v>
      </c>
    </row>
    <row r="539" ht="15" customHeight="1">
      <c r="A539" s="242">
        <f t="shared" si="8"/>
        <v>64</v>
      </c>
    </row>
    <row r="540" ht="15" customHeight="1">
      <c r="A540" s="242">
        <f t="shared" si="8"/>
        <v>63</v>
      </c>
    </row>
    <row r="541" ht="15" customHeight="1">
      <c r="A541" s="242">
        <f t="shared" si="8"/>
        <v>62</v>
      </c>
    </row>
    <row r="542" ht="15" customHeight="1">
      <c r="A542" s="242">
        <f t="shared" si="8"/>
        <v>61</v>
      </c>
    </row>
    <row r="543" ht="15" customHeight="1">
      <c r="A543" s="242">
        <f t="shared" si="8"/>
        <v>60</v>
      </c>
    </row>
    <row r="544" ht="15" customHeight="1">
      <c r="A544" s="242">
        <f t="shared" si="8"/>
        <v>59</v>
      </c>
    </row>
    <row r="545" ht="15" customHeight="1">
      <c r="A545" s="242">
        <f t="shared" si="8"/>
        <v>58</v>
      </c>
    </row>
    <row r="546" ht="15" customHeight="1">
      <c r="A546" s="242">
        <f t="shared" si="8"/>
        <v>57</v>
      </c>
    </row>
    <row r="547" ht="15" customHeight="1">
      <c r="A547" s="242">
        <f t="shared" si="8"/>
        <v>56</v>
      </c>
    </row>
    <row r="548" ht="15" customHeight="1">
      <c r="A548" s="242">
        <f t="shared" si="8"/>
        <v>55</v>
      </c>
    </row>
    <row r="549" ht="15" customHeight="1">
      <c r="A549" s="242">
        <f t="shared" si="8"/>
        <v>54</v>
      </c>
    </row>
    <row r="550" ht="15" customHeight="1">
      <c r="A550" s="242">
        <f t="shared" si="8"/>
        <v>53</v>
      </c>
    </row>
    <row r="551" ht="15" customHeight="1">
      <c r="A551" s="242">
        <f t="shared" si="8"/>
        <v>52</v>
      </c>
    </row>
    <row r="552" ht="15" customHeight="1">
      <c r="A552" s="242">
        <f t="shared" si="8"/>
        <v>51</v>
      </c>
    </row>
    <row r="553" ht="15" customHeight="1">
      <c r="A553" s="242">
        <f t="shared" si="8"/>
        <v>50</v>
      </c>
    </row>
    <row r="554" ht="15" customHeight="1">
      <c r="A554" s="242">
        <f t="shared" si="8"/>
        <v>49</v>
      </c>
    </row>
    <row r="555" ht="15" customHeight="1">
      <c r="A555" s="242">
        <f t="shared" si="8"/>
        <v>48</v>
      </c>
    </row>
    <row r="556" ht="15" customHeight="1">
      <c r="A556" s="242">
        <f t="shared" si="8"/>
        <v>47</v>
      </c>
    </row>
    <row r="557" ht="15" customHeight="1">
      <c r="A557" s="242">
        <f t="shared" si="8"/>
        <v>46</v>
      </c>
    </row>
    <row r="558" ht="15" customHeight="1">
      <c r="A558" s="242">
        <f t="shared" si="8"/>
        <v>45</v>
      </c>
    </row>
    <row r="559" ht="15" customHeight="1">
      <c r="A559" s="242">
        <f t="shared" si="8"/>
        <v>44</v>
      </c>
    </row>
    <row r="560" ht="15" customHeight="1">
      <c r="A560" s="242">
        <f t="shared" si="8"/>
        <v>43</v>
      </c>
    </row>
    <row r="561" ht="15" customHeight="1">
      <c r="A561" s="242">
        <f t="shared" si="8"/>
        <v>42</v>
      </c>
    </row>
    <row r="562" ht="15" customHeight="1">
      <c r="A562" s="242">
        <f t="shared" si="8"/>
        <v>41</v>
      </c>
    </row>
    <row r="563" ht="15" customHeight="1">
      <c r="A563" s="242">
        <f t="shared" si="8"/>
        <v>40</v>
      </c>
    </row>
    <row r="564" ht="15" customHeight="1">
      <c r="A564" s="242">
        <f t="shared" si="8"/>
        <v>39</v>
      </c>
    </row>
    <row r="565" ht="15" customHeight="1">
      <c r="A565" s="242">
        <f t="shared" si="8"/>
        <v>38</v>
      </c>
    </row>
    <row r="566" ht="15" customHeight="1">
      <c r="A566" s="242">
        <f t="shared" si="8"/>
        <v>37</v>
      </c>
    </row>
    <row r="567" ht="15" customHeight="1">
      <c r="A567" s="242">
        <f t="shared" si="8"/>
        <v>36</v>
      </c>
    </row>
    <row r="568" ht="15" customHeight="1">
      <c r="A568" s="242">
        <f t="shared" si="8"/>
        <v>35</v>
      </c>
    </row>
    <row r="569" ht="15" customHeight="1">
      <c r="A569" s="242">
        <f t="shared" si="8"/>
        <v>34</v>
      </c>
    </row>
    <row r="570" ht="15" customHeight="1">
      <c r="A570" s="242">
        <f t="shared" si="8"/>
        <v>33</v>
      </c>
    </row>
    <row r="571" ht="15" customHeight="1">
      <c r="A571" s="242">
        <f t="shared" si="8"/>
        <v>32</v>
      </c>
    </row>
    <row r="572" ht="15" customHeight="1">
      <c r="A572" s="242">
        <f t="shared" si="8"/>
        <v>31</v>
      </c>
    </row>
    <row r="573" ht="15" customHeight="1">
      <c r="A573" s="242">
        <f t="shared" si="8"/>
        <v>30</v>
      </c>
    </row>
    <row r="574" ht="15" customHeight="1">
      <c r="A574" s="242">
        <f t="shared" si="8"/>
        <v>29</v>
      </c>
    </row>
    <row r="575" ht="15" customHeight="1">
      <c r="A575" s="242">
        <f t="shared" si="8"/>
        <v>28</v>
      </c>
    </row>
    <row r="576" ht="15" customHeight="1">
      <c r="A576" s="242">
        <f t="shared" si="8"/>
        <v>27</v>
      </c>
    </row>
    <row r="577" ht="15" customHeight="1">
      <c r="A577" s="242">
        <f t="shared" si="8"/>
        <v>26</v>
      </c>
    </row>
    <row r="578" ht="15" customHeight="1">
      <c r="A578" s="242">
        <f t="shared" si="8"/>
        <v>25</v>
      </c>
    </row>
    <row r="579" ht="15" customHeight="1">
      <c r="A579" s="242">
        <f t="shared" si="8"/>
        <v>24</v>
      </c>
    </row>
    <row r="580" ht="15" customHeight="1">
      <c r="A580" s="242">
        <f t="shared" si="8"/>
        <v>23</v>
      </c>
    </row>
    <row r="581" ht="15" customHeight="1">
      <c r="A581" s="242">
        <f t="shared" si="8"/>
        <v>22</v>
      </c>
    </row>
    <row r="582" ht="15" customHeight="1">
      <c r="A582" s="242">
        <f t="shared" si="8"/>
        <v>21</v>
      </c>
    </row>
    <row r="583" ht="15" customHeight="1">
      <c r="A583" s="242">
        <f t="shared" si="8"/>
        <v>20</v>
      </c>
    </row>
    <row r="584" ht="15" customHeight="1">
      <c r="A584" s="242">
        <f t="shared" si="8"/>
        <v>19</v>
      </c>
    </row>
    <row r="585" ht="15" customHeight="1">
      <c r="A585" s="242">
        <f t="shared" si="8"/>
        <v>18</v>
      </c>
    </row>
    <row r="586" ht="15" customHeight="1">
      <c r="A586" s="242">
        <f t="shared" si="8"/>
        <v>17</v>
      </c>
    </row>
    <row r="587" ht="15" customHeight="1">
      <c r="A587" s="242">
        <f t="shared" si="8"/>
        <v>16</v>
      </c>
    </row>
    <row r="588" ht="15" customHeight="1">
      <c r="A588" s="242">
        <f t="shared" si="8"/>
        <v>15</v>
      </c>
    </row>
    <row r="589" ht="15" customHeight="1">
      <c r="A589" s="242">
        <f t="shared" si="8"/>
        <v>14</v>
      </c>
    </row>
    <row r="590" ht="15" customHeight="1">
      <c r="A590" s="242">
        <f t="shared" si="8"/>
        <v>13</v>
      </c>
    </row>
    <row r="591" ht="15" customHeight="1">
      <c r="A591" s="242">
        <f aca="true" t="shared" si="9" ref="A591:A600">IF(ISTEXT(D592),1,1+A592)</f>
        <v>12</v>
      </c>
    </row>
    <row r="592" ht="15" customHeight="1">
      <c r="A592" s="242">
        <f t="shared" si="9"/>
        <v>11</v>
      </c>
    </row>
    <row r="593" ht="15" customHeight="1">
      <c r="A593" s="242">
        <f t="shared" si="9"/>
        <v>10</v>
      </c>
    </row>
    <row r="594" ht="15" customHeight="1">
      <c r="A594" s="242">
        <f t="shared" si="9"/>
        <v>9</v>
      </c>
    </row>
    <row r="595" ht="15" customHeight="1">
      <c r="A595" s="242">
        <f t="shared" si="9"/>
        <v>8</v>
      </c>
    </row>
    <row r="596" ht="15" customHeight="1">
      <c r="A596" s="242">
        <f t="shared" si="9"/>
        <v>7</v>
      </c>
    </row>
    <row r="597" ht="15" customHeight="1">
      <c r="A597" s="242">
        <f t="shared" si="9"/>
        <v>6</v>
      </c>
    </row>
    <row r="598" ht="15" customHeight="1">
      <c r="A598" s="242">
        <f t="shared" si="9"/>
        <v>5</v>
      </c>
    </row>
    <row r="599" ht="15" customHeight="1">
      <c r="A599" s="242">
        <f t="shared" si="9"/>
        <v>4</v>
      </c>
    </row>
    <row r="600" ht="15" customHeight="1">
      <c r="A600" s="242">
        <f t="shared" si="9"/>
        <v>3</v>
      </c>
    </row>
    <row r="601" ht="15" customHeight="1">
      <c r="A601" s="242">
        <f>IF(ISTEXT(D602),1,1+A602)</f>
        <v>2</v>
      </c>
    </row>
    <row r="602" ht="15" customHeight="1">
      <c r="A602" s="242">
        <f>IF(ISTEXT(D603),1,1+A603)</f>
        <v>1</v>
      </c>
    </row>
  </sheetData>
  <sheetProtection sheet="1" selectLockedCells="1" selectUnlockedCells="1"/>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B2:B15"/>
  <sheetViews>
    <sheetView workbookViewId="0" topLeftCell="A1">
      <selection activeCell="E11" sqref="E11"/>
    </sheetView>
  </sheetViews>
  <sheetFormatPr defaultColWidth="9.140625" defaultRowHeight="12.75"/>
  <sheetData>
    <row r="2" ht="12.75">
      <c r="B2" s="1000" t="s">
        <v>771</v>
      </c>
    </row>
    <row r="5" ht="12.75">
      <c r="B5" s="1000" t="s">
        <v>1010</v>
      </c>
    </row>
    <row r="6" ht="12.75">
      <c r="B6" t="s">
        <v>772</v>
      </c>
    </row>
    <row r="9" ht="12.75">
      <c r="B9" s="1000" t="s">
        <v>1011</v>
      </c>
    </row>
    <row r="10" ht="12.75">
      <c r="B10" t="s">
        <v>1012</v>
      </c>
    </row>
    <row r="11" ht="12.75">
      <c r="B11" t="s">
        <v>1013</v>
      </c>
    </row>
    <row r="12" ht="12.75">
      <c r="B12" t="s">
        <v>1014</v>
      </c>
    </row>
    <row r="14" ht="12.75">
      <c r="B14" s="1000" t="s">
        <v>773</v>
      </c>
    </row>
    <row r="15" ht="12.75">
      <c r="B15" t="s">
        <v>774</v>
      </c>
    </row>
  </sheetData>
  <sheetProtection sheet="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Mobile Emissions Module</dc:title>
  <dc:subject/>
  <dc:creator>David Cross</dc:creator>
  <cp:keywords/>
  <dc:description/>
  <cp:lastModifiedBy>Taryn.Fransen</cp:lastModifiedBy>
  <cp:lastPrinted>2003-03-19T18:50:17Z</cp:lastPrinted>
  <dcterms:created xsi:type="dcterms:W3CDTF">2001-02-27T18:18:08Z</dcterms:created>
  <dcterms:modified xsi:type="dcterms:W3CDTF">2008-07-30T15:24:58Z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